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BCB5A387-F841-4E0E-8B79-F57492FF16CB}" xr6:coauthVersionLast="47" xr6:coauthVersionMax="47" xr10:uidLastSave="{00000000-0000-0000-0000-000000000000}"/>
  <bookViews>
    <workbookView xWindow="-108" yWindow="-108" windowWidth="23256" windowHeight="12456" xr2:uid="{00000000-000D-0000-FFFF-FFFF00000000}"/>
  </bookViews>
  <sheets>
    <sheet name="Physician Comparative Tariffs" sheetId="1" r:id="rId1"/>
    <sheet name="RCFs" sheetId="2" r:id="rId2"/>
  </sheets>
  <externalReferences>
    <externalReference r:id="rId3"/>
  </externalReferences>
  <definedNames>
    <definedName name="PredDLR">[1]Parameters!$C$45</definedName>
    <definedName name="PredOHR">[1]Parameters!$C$38</definedName>
    <definedName name="_xlnm.Print_Area" localSheetId="0">'Physician Comparative Tariffs'!$A$1:$BB$127</definedName>
    <definedName name="_xlnm.Print_Titles" localSheetId="0">'Physician Comparative Tariffs'!$A:$E,'Physician Comparative Tariffs'!$1:$8</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M47" i="2"/>
  <c r="L47" i="2"/>
  <c r="K47" i="2"/>
  <c r="C47" i="2"/>
  <c r="C45" i="2"/>
  <c r="M43" i="2"/>
  <c r="C43" i="2"/>
  <c r="K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G45" i="1" s="1"/>
  <c r="G41" i="1"/>
  <c r="G42" i="1"/>
  <c r="G43" i="1"/>
  <c r="G44" i="1"/>
  <c r="L43" i="2" l="1"/>
  <c r="Z32" i="1"/>
  <c r="Z31" i="1"/>
  <c r="AW17" i="1" l="1"/>
  <c r="AU17" i="1" l="1"/>
  <c r="AQ29" i="1" l="1"/>
  <c r="AN17" i="1" l="1"/>
  <c r="AJ17" i="1" l="1"/>
  <c r="AL17" i="1"/>
  <c r="AE29" i="1" l="1"/>
  <c r="Q29" i="1" l="1"/>
  <c r="E118" i="1" l="1"/>
  <c r="D118" i="1" s="1"/>
  <c r="G118" i="1"/>
  <c r="F118" i="1" s="1"/>
  <c r="I118" i="1"/>
  <c r="P118" i="1" s="1"/>
  <c r="R118" i="1"/>
  <c r="Q118" i="1" s="1"/>
  <c r="V118" i="1"/>
  <c r="U118" i="1" s="1"/>
  <c r="AF118" i="1"/>
  <c r="AE118" i="1" s="1"/>
  <c r="AK118" i="1"/>
  <c r="AJ118" i="1" s="1"/>
  <c r="AM118" i="1"/>
  <c r="AL118" i="1" s="1"/>
  <c r="AO118" i="1"/>
  <c r="AN118" i="1" s="1"/>
  <c r="AP118" i="1" s="1"/>
  <c r="AR118" i="1"/>
  <c r="AQ118" i="1" s="1"/>
  <c r="AS118" i="1" s="1"/>
  <c r="AV118" i="1"/>
  <c r="AU118" i="1" s="1"/>
  <c r="AX118" i="1"/>
  <c r="AW118" i="1" s="1"/>
  <c r="AZ118" i="1"/>
  <c r="AY118" i="1" s="1"/>
  <c r="BB118" i="1"/>
  <c r="BA118" i="1" s="1"/>
  <c r="E115" i="1"/>
  <c r="D115" i="1" s="1"/>
  <c r="G115" i="1"/>
  <c r="F115" i="1" s="1"/>
  <c r="I115" i="1"/>
  <c r="P115" i="1" s="1"/>
  <c r="R115" i="1"/>
  <c r="Q115" i="1" s="1"/>
  <c r="V115" i="1"/>
  <c r="U115" i="1" s="1"/>
  <c r="AF115" i="1"/>
  <c r="AE115" i="1" s="1"/>
  <c r="AK115" i="1"/>
  <c r="AJ115" i="1" s="1"/>
  <c r="AM115" i="1"/>
  <c r="AL115" i="1" s="1"/>
  <c r="AO115" i="1"/>
  <c r="AN115" i="1" s="1"/>
  <c r="AP115" i="1" s="1"/>
  <c r="AR115" i="1"/>
  <c r="AQ115" i="1" s="1"/>
  <c r="AS115" i="1" s="1"/>
  <c r="AV115" i="1"/>
  <c r="AU115" i="1" s="1"/>
  <c r="AX115" i="1"/>
  <c r="AW115" i="1" s="1"/>
  <c r="AZ115" i="1"/>
  <c r="AY115" i="1" s="1"/>
  <c r="BB115" i="1"/>
  <c r="BA115" i="1" s="1"/>
  <c r="E114" i="1"/>
  <c r="D114" i="1" s="1"/>
  <c r="G114" i="1"/>
  <c r="F114" i="1" s="1"/>
  <c r="I114" i="1"/>
  <c r="P114" i="1" s="1"/>
  <c r="R114" i="1"/>
  <c r="Q114" i="1" s="1"/>
  <c r="V114" i="1"/>
  <c r="U114" i="1" s="1"/>
  <c r="AF114" i="1"/>
  <c r="AE114" i="1" s="1"/>
  <c r="AK114" i="1"/>
  <c r="AJ114" i="1" s="1"/>
  <c r="AM114" i="1"/>
  <c r="AL114" i="1" s="1"/>
  <c r="AO114" i="1"/>
  <c r="AN114" i="1" s="1"/>
  <c r="AP114" i="1" s="1"/>
  <c r="AR114" i="1"/>
  <c r="AQ114" i="1" s="1"/>
  <c r="AS114" i="1" s="1"/>
  <c r="AV114" i="1"/>
  <c r="AU114" i="1" s="1"/>
  <c r="AX114" i="1"/>
  <c r="AW114" i="1" s="1"/>
  <c r="AZ114" i="1"/>
  <c r="AY114" i="1" s="1"/>
  <c r="BB114" i="1"/>
  <c r="BA114" i="1" s="1"/>
  <c r="E111" i="1"/>
  <c r="D111" i="1" s="1"/>
  <c r="G111" i="1"/>
  <c r="F111" i="1" s="1"/>
  <c r="I111" i="1"/>
  <c r="P111" i="1" s="1"/>
  <c r="R111" i="1"/>
  <c r="Q111" i="1" s="1"/>
  <c r="V111" i="1"/>
  <c r="U111" i="1" s="1"/>
  <c r="AF111" i="1"/>
  <c r="AE111" i="1" s="1"/>
  <c r="AK111" i="1"/>
  <c r="AJ111" i="1" s="1"/>
  <c r="AM111" i="1"/>
  <c r="AL111" i="1" s="1"/>
  <c r="AO111" i="1"/>
  <c r="AN111" i="1" s="1"/>
  <c r="AP111" i="1" s="1"/>
  <c r="AR111" i="1"/>
  <c r="AQ111" i="1" s="1"/>
  <c r="AS111" i="1" s="1"/>
  <c r="AV111" i="1"/>
  <c r="AU111" i="1" s="1"/>
  <c r="AX111" i="1"/>
  <c r="AW111" i="1" s="1"/>
  <c r="AZ111" i="1"/>
  <c r="AY111" i="1" s="1"/>
  <c r="BB111" i="1"/>
  <c r="BA111" i="1" s="1"/>
  <c r="E110" i="1"/>
  <c r="D110" i="1" s="1"/>
  <c r="G110" i="1"/>
  <c r="F110" i="1" s="1"/>
  <c r="I110" i="1"/>
  <c r="P110" i="1" s="1"/>
  <c r="R110" i="1"/>
  <c r="Q110" i="1" s="1"/>
  <c r="V110" i="1"/>
  <c r="U110" i="1" s="1"/>
  <c r="AF110" i="1"/>
  <c r="AE110" i="1" s="1"/>
  <c r="AK110" i="1"/>
  <c r="AJ110" i="1" s="1"/>
  <c r="AM110" i="1"/>
  <c r="AL110" i="1" s="1"/>
  <c r="AO110" i="1"/>
  <c r="AN110" i="1" s="1"/>
  <c r="AP110" i="1" s="1"/>
  <c r="AR110" i="1"/>
  <c r="AQ110" i="1" s="1"/>
  <c r="AS110" i="1" s="1"/>
  <c r="AV110" i="1"/>
  <c r="AU110" i="1" s="1"/>
  <c r="AX110" i="1"/>
  <c r="AW110" i="1" s="1"/>
  <c r="AZ110" i="1"/>
  <c r="AY110" i="1" s="1"/>
  <c r="BB110" i="1"/>
  <c r="BA110" i="1" s="1"/>
  <c r="E97" i="1"/>
  <c r="D97" i="1" s="1"/>
  <c r="G97" i="1"/>
  <c r="F97" i="1" s="1"/>
  <c r="I97" i="1"/>
  <c r="P97" i="1" s="1"/>
  <c r="R97" i="1"/>
  <c r="Q97" i="1" s="1"/>
  <c r="V97" i="1"/>
  <c r="U97" i="1" s="1"/>
  <c r="AF97" i="1"/>
  <c r="AE97" i="1" s="1"/>
  <c r="AK97" i="1"/>
  <c r="AJ97" i="1" s="1"/>
  <c r="AM97" i="1"/>
  <c r="AL97" i="1" s="1"/>
  <c r="AO97" i="1"/>
  <c r="AN97" i="1" s="1"/>
  <c r="AP97" i="1" s="1"/>
  <c r="AR97" i="1"/>
  <c r="AQ97" i="1" s="1"/>
  <c r="AS97" i="1" s="1"/>
  <c r="AV97" i="1"/>
  <c r="AU97" i="1" s="1"/>
  <c r="AX97" i="1"/>
  <c r="AW97" i="1" s="1"/>
  <c r="AZ97" i="1"/>
  <c r="AY97" i="1" s="1"/>
  <c r="BB97" i="1"/>
  <c r="BA97" i="1" s="1"/>
  <c r="E98" i="1"/>
  <c r="D98" i="1" s="1"/>
  <c r="G98" i="1"/>
  <c r="F98" i="1" s="1"/>
  <c r="I98" i="1"/>
  <c r="P98" i="1" s="1"/>
  <c r="R98" i="1"/>
  <c r="Q98" i="1" s="1"/>
  <c r="V98" i="1"/>
  <c r="U98" i="1" s="1"/>
  <c r="AF98" i="1"/>
  <c r="AE98" i="1" s="1"/>
  <c r="AK98" i="1"/>
  <c r="AJ98" i="1" s="1"/>
  <c r="AM98" i="1"/>
  <c r="AL98" i="1" s="1"/>
  <c r="AO98" i="1"/>
  <c r="AN98" i="1" s="1"/>
  <c r="AP98" i="1" s="1"/>
  <c r="AR98" i="1"/>
  <c r="AQ98" i="1" s="1"/>
  <c r="AS98" i="1" s="1"/>
  <c r="AV98" i="1"/>
  <c r="AU98" i="1" s="1"/>
  <c r="AX98" i="1"/>
  <c r="AW98" i="1" s="1"/>
  <c r="AZ98" i="1"/>
  <c r="AY98" i="1" s="1"/>
  <c r="BB98" i="1"/>
  <c r="BA98" i="1" s="1"/>
  <c r="E99" i="1"/>
  <c r="D99" i="1" s="1"/>
  <c r="G99" i="1"/>
  <c r="F99" i="1" s="1"/>
  <c r="I99" i="1"/>
  <c r="P99" i="1" s="1"/>
  <c r="R99" i="1"/>
  <c r="Q99" i="1" s="1"/>
  <c r="V99" i="1"/>
  <c r="U99" i="1" s="1"/>
  <c r="AF99" i="1"/>
  <c r="AE99" i="1" s="1"/>
  <c r="AK99" i="1"/>
  <c r="AJ99" i="1" s="1"/>
  <c r="AM99" i="1"/>
  <c r="AL99" i="1" s="1"/>
  <c r="AO99" i="1"/>
  <c r="AN99" i="1" s="1"/>
  <c r="AP99" i="1" s="1"/>
  <c r="AR99" i="1"/>
  <c r="AQ99" i="1" s="1"/>
  <c r="AS99" i="1" s="1"/>
  <c r="AV99" i="1"/>
  <c r="AU99" i="1" s="1"/>
  <c r="AX99" i="1"/>
  <c r="AW99" i="1" s="1"/>
  <c r="AZ99" i="1"/>
  <c r="AY99" i="1" s="1"/>
  <c r="BB99" i="1"/>
  <c r="BA99" i="1" s="1"/>
  <c r="E100" i="1"/>
  <c r="D100" i="1" s="1"/>
  <c r="G100" i="1"/>
  <c r="F100" i="1" s="1"/>
  <c r="I100" i="1"/>
  <c r="P100" i="1" s="1"/>
  <c r="R100" i="1"/>
  <c r="Q100" i="1" s="1"/>
  <c r="V100" i="1"/>
  <c r="U100" i="1" s="1"/>
  <c r="AF100" i="1"/>
  <c r="AE100" i="1" s="1"/>
  <c r="AK100" i="1"/>
  <c r="AJ100" i="1" s="1"/>
  <c r="AM100" i="1"/>
  <c r="AL100" i="1" s="1"/>
  <c r="AO100" i="1"/>
  <c r="AN100" i="1" s="1"/>
  <c r="AP100" i="1" s="1"/>
  <c r="AR100" i="1"/>
  <c r="AQ100" i="1" s="1"/>
  <c r="AS100" i="1" s="1"/>
  <c r="AV100" i="1"/>
  <c r="AU100" i="1" s="1"/>
  <c r="AX100" i="1"/>
  <c r="AW100" i="1" s="1"/>
  <c r="AZ100" i="1"/>
  <c r="AY100" i="1" s="1"/>
  <c r="BB100" i="1"/>
  <c r="BA100" i="1" s="1"/>
  <c r="E101" i="1"/>
  <c r="D101" i="1" s="1"/>
  <c r="G101" i="1"/>
  <c r="F101" i="1" s="1"/>
  <c r="I101" i="1"/>
  <c r="P101" i="1" s="1"/>
  <c r="R101" i="1"/>
  <c r="Q101" i="1" s="1"/>
  <c r="V101" i="1"/>
  <c r="U101" i="1" s="1"/>
  <c r="AF101" i="1"/>
  <c r="AE101" i="1" s="1"/>
  <c r="AK101" i="1"/>
  <c r="AJ101" i="1" s="1"/>
  <c r="AM101" i="1"/>
  <c r="AL101" i="1" s="1"/>
  <c r="AO101" i="1"/>
  <c r="AN101" i="1" s="1"/>
  <c r="AP101" i="1" s="1"/>
  <c r="AR101" i="1"/>
  <c r="AQ101" i="1" s="1"/>
  <c r="AS101" i="1" s="1"/>
  <c r="AV101" i="1"/>
  <c r="AU101" i="1" s="1"/>
  <c r="AX101" i="1"/>
  <c r="AW101" i="1" s="1"/>
  <c r="AZ101" i="1"/>
  <c r="AY101" i="1" s="1"/>
  <c r="BB101" i="1"/>
  <c r="BA101" i="1" s="1"/>
  <c r="E95" i="1"/>
  <c r="D95" i="1" s="1"/>
  <c r="G95" i="1"/>
  <c r="F95" i="1" s="1"/>
  <c r="I95" i="1"/>
  <c r="P95" i="1" s="1"/>
  <c r="R95" i="1"/>
  <c r="Q95" i="1" s="1"/>
  <c r="V95" i="1"/>
  <c r="U95" i="1" s="1"/>
  <c r="AF95" i="1"/>
  <c r="AE95" i="1" s="1"/>
  <c r="AK95" i="1"/>
  <c r="AJ95" i="1" s="1"/>
  <c r="AM95" i="1"/>
  <c r="AL95" i="1" s="1"/>
  <c r="AO95" i="1"/>
  <c r="AN95" i="1" s="1"/>
  <c r="AP95" i="1" s="1"/>
  <c r="AR95" i="1"/>
  <c r="AQ95" i="1" s="1"/>
  <c r="AS95" i="1" s="1"/>
  <c r="AV95" i="1"/>
  <c r="AU95" i="1" s="1"/>
  <c r="AX95" i="1"/>
  <c r="AW95" i="1" s="1"/>
  <c r="AZ95" i="1"/>
  <c r="AY95" i="1" s="1"/>
  <c r="BB95" i="1"/>
  <c r="BA95" i="1" s="1"/>
  <c r="E96" i="1"/>
  <c r="D96" i="1" s="1"/>
  <c r="G96" i="1"/>
  <c r="F96" i="1" s="1"/>
  <c r="I96" i="1"/>
  <c r="P96" i="1" s="1"/>
  <c r="R96" i="1"/>
  <c r="Q96" i="1" s="1"/>
  <c r="V96" i="1"/>
  <c r="U96" i="1" s="1"/>
  <c r="AF96" i="1"/>
  <c r="AE96" i="1" s="1"/>
  <c r="AK96" i="1"/>
  <c r="AJ96" i="1" s="1"/>
  <c r="AM96" i="1"/>
  <c r="AL96" i="1" s="1"/>
  <c r="AO96" i="1"/>
  <c r="AN96" i="1" s="1"/>
  <c r="AP96" i="1" s="1"/>
  <c r="AR96" i="1"/>
  <c r="AQ96" i="1" s="1"/>
  <c r="AS96" i="1" s="1"/>
  <c r="AV96" i="1"/>
  <c r="AU96" i="1" s="1"/>
  <c r="AX96" i="1"/>
  <c r="AW96" i="1" s="1"/>
  <c r="AZ96" i="1"/>
  <c r="AY96" i="1" s="1"/>
  <c r="BB96" i="1"/>
  <c r="BA96" i="1" s="1"/>
  <c r="E90" i="1"/>
  <c r="D90" i="1" s="1"/>
  <c r="G90" i="1"/>
  <c r="F90" i="1" s="1"/>
  <c r="I90" i="1"/>
  <c r="P90" i="1" s="1"/>
  <c r="R90" i="1"/>
  <c r="Q90" i="1" s="1"/>
  <c r="V90" i="1"/>
  <c r="U90" i="1" s="1"/>
  <c r="AF90" i="1"/>
  <c r="AE90" i="1" s="1"/>
  <c r="AK90" i="1"/>
  <c r="AJ90" i="1" s="1"/>
  <c r="AM90" i="1"/>
  <c r="AL90" i="1" s="1"/>
  <c r="AO90" i="1"/>
  <c r="AN90" i="1" s="1"/>
  <c r="AP90" i="1" s="1"/>
  <c r="AR90" i="1"/>
  <c r="AQ90" i="1" s="1"/>
  <c r="AS90" i="1" s="1"/>
  <c r="AV90" i="1"/>
  <c r="AU90" i="1" s="1"/>
  <c r="AX90" i="1"/>
  <c r="AW90" i="1" s="1"/>
  <c r="AZ90" i="1"/>
  <c r="AY90" i="1" s="1"/>
  <c r="BB90" i="1"/>
  <c r="BA90" i="1" s="1"/>
  <c r="E87" i="1"/>
  <c r="D87" i="1" s="1"/>
  <c r="G87" i="1"/>
  <c r="F87" i="1" s="1"/>
  <c r="I87" i="1"/>
  <c r="H87" i="1" s="1"/>
  <c r="R87" i="1"/>
  <c r="Q87" i="1" s="1"/>
  <c r="V87" i="1"/>
  <c r="U87" i="1" s="1"/>
  <c r="AF87" i="1"/>
  <c r="AE87" i="1" s="1"/>
  <c r="AG87" i="1" s="1"/>
  <c r="AK87" i="1"/>
  <c r="AJ87" i="1" s="1"/>
  <c r="AM87" i="1"/>
  <c r="AL87" i="1" s="1"/>
  <c r="AO87" i="1"/>
  <c r="AN87" i="1" s="1"/>
  <c r="AP87" i="1" s="1"/>
  <c r="AR87" i="1"/>
  <c r="AT87" i="1" s="1"/>
  <c r="AV87" i="1"/>
  <c r="AU87" i="1" s="1"/>
  <c r="AX87" i="1"/>
  <c r="AW87" i="1" s="1"/>
  <c r="AZ87" i="1"/>
  <c r="AY87" i="1" s="1"/>
  <c r="BB87" i="1"/>
  <c r="BA87" i="1" s="1"/>
  <c r="E85" i="1"/>
  <c r="D85" i="1" s="1"/>
  <c r="G85" i="1"/>
  <c r="F85" i="1" s="1"/>
  <c r="I85" i="1"/>
  <c r="H85" i="1" s="1"/>
  <c r="R85" i="1"/>
  <c r="Q85" i="1" s="1"/>
  <c r="V85" i="1"/>
  <c r="U85" i="1" s="1"/>
  <c r="AF85" i="1"/>
  <c r="AE85" i="1" s="1"/>
  <c r="AG85" i="1" s="1"/>
  <c r="AK85" i="1"/>
  <c r="AJ85" i="1" s="1"/>
  <c r="AM85" i="1"/>
  <c r="AL85" i="1" s="1"/>
  <c r="AO85" i="1"/>
  <c r="AN85" i="1" s="1"/>
  <c r="AP85" i="1" s="1"/>
  <c r="AR85" i="1"/>
  <c r="AT85" i="1" s="1"/>
  <c r="AV85" i="1"/>
  <c r="AU85" i="1" s="1"/>
  <c r="AX85" i="1"/>
  <c r="AW85" i="1" s="1"/>
  <c r="AZ85" i="1"/>
  <c r="AY85" i="1" s="1"/>
  <c r="BB85" i="1"/>
  <c r="BA85" i="1" s="1"/>
  <c r="E83" i="1"/>
  <c r="D83" i="1" s="1"/>
  <c r="G83" i="1"/>
  <c r="F83" i="1" s="1"/>
  <c r="I83" i="1"/>
  <c r="P83" i="1" s="1"/>
  <c r="R83" i="1"/>
  <c r="Q83" i="1" s="1"/>
  <c r="V83" i="1"/>
  <c r="U83" i="1" s="1"/>
  <c r="AF83" i="1"/>
  <c r="AE83" i="1" s="1"/>
  <c r="AK83" i="1"/>
  <c r="AJ83" i="1" s="1"/>
  <c r="AM83" i="1"/>
  <c r="AL83" i="1" s="1"/>
  <c r="AO83" i="1"/>
  <c r="AN83" i="1" s="1"/>
  <c r="AP83" i="1" s="1"/>
  <c r="AR83" i="1"/>
  <c r="AQ83" i="1" s="1"/>
  <c r="AS83" i="1" s="1"/>
  <c r="AV83" i="1"/>
  <c r="AU83" i="1" s="1"/>
  <c r="AX83" i="1"/>
  <c r="AW83" i="1" s="1"/>
  <c r="AZ83" i="1"/>
  <c r="AY83" i="1" s="1"/>
  <c r="BB83" i="1"/>
  <c r="BA83" i="1" s="1"/>
  <c r="E82" i="1"/>
  <c r="D82" i="1" s="1"/>
  <c r="G82" i="1"/>
  <c r="F82" i="1" s="1"/>
  <c r="I82" i="1"/>
  <c r="H82" i="1" s="1"/>
  <c r="R82" i="1"/>
  <c r="Q82" i="1" s="1"/>
  <c r="V82" i="1"/>
  <c r="U82" i="1" s="1"/>
  <c r="AF82" i="1"/>
  <c r="AE82" i="1" s="1"/>
  <c r="AK82" i="1"/>
  <c r="AJ82" i="1" s="1"/>
  <c r="AM82" i="1"/>
  <c r="AL82" i="1" s="1"/>
  <c r="AO82" i="1"/>
  <c r="AN82" i="1" s="1"/>
  <c r="AP82" i="1" s="1"/>
  <c r="AR82" i="1"/>
  <c r="AQ82" i="1" s="1"/>
  <c r="AS82" i="1" s="1"/>
  <c r="AV82" i="1"/>
  <c r="AU82" i="1" s="1"/>
  <c r="AX82" i="1"/>
  <c r="AW82" i="1" s="1"/>
  <c r="AZ82" i="1"/>
  <c r="AY82" i="1" s="1"/>
  <c r="BB82" i="1"/>
  <c r="BA82" i="1" s="1"/>
  <c r="E81" i="1"/>
  <c r="D81" i="1" s="1"/>
  <c r="G81" i="1"/>
  <c r="F81" i="1" s="1"/>
  <c r="I81" i="1"/>
  <c r="P81" i="1" s="1"/>
  <c r="R81" i="1"/>
  <c r="Q81" i="1" s="1"/>
  <c r="V81" i="1"/>
  <c r="U81" i="1" s="1"/>
  <c r="AF81" i="1"/>
  <c r="AE81" i="1" s="1"/>
  <c r="AK81" i="1"/>
  <c r="AJ81" i="1" s="1"/>
  <c r="AM81" i="1"/>
  <c r="AL81" i="1" s="1"/>
  <c r="AO81" i="1"/>
  <c r="AN81" i="1" s="1"/>
  <c r="AP81" i="1" s="1"/>
  <c r="AR81" i="1"/>
  <c r="AQ81" i="1" s="1"/>
  <c r="AS81" i="1" s="1"/>
  <c r="AV81" i="1"/>
  <c r="AU81" i="1" s="1"/>
  <c r="AX81" i="1"/>
  <c r="AW81" i="1" s="1"/>
  <c r="AZ81" i="1"/>
  <c r="AY81" i="1" s="1"/>
  <c r="BB81" i="1"/>
  <c r="BA81" i="1" s="1"/>
  <c r="E80" i="1"/>
  <c r="D80" i="1" s="1"/>
  <c r="G80" i="1"/>
  <c r="F80" i="1" s="1"/>
  <c r="I80" i="1"/>
  <c r="P80" i="1" s="1"/>
  <c r="R80" i="1"/>
  <c r="Q80" i="1" s="1"/>
  <c r="V80" i="1"/>
  <c r="U80" i="1" s="1"/>
  <c r="AF80" i="1"/>
  <c r="AE80" i="1" s="1"/>
  <c r="AK80" i="1"/>
  <c r="AJ80" i="1" s="1"/>
  <c r="AM80" i="1"/>
  <c r="AL80" i="1" s="1"/>
  <c r="AO80" i="1"/>
  <c r="AN80" i="1" s="1"/>
  <c r="AP80" i="1" s="1"/>
  <c r="AR80" i="1"/>
  <c r="AQ80" i="1" s="1"/>
  <c r="AS80" i="1" s="1"/>
  <c r="AV80" i="1"/>
  <c r="AU80" i="1" s="1"/>
  <c r="AX80" i="1"/>
  <c r="AW80" i="1" s="1"/>
  <c r="AZ80" i="1"/>
  <c r="AY80" i="1" s="1"/>
  <c r="BB80" i="1"/>
  <c r="BA80" i="1" s="1"/>
  <c r="E78" i="1"/>
  <c r="D78" i="1" s="1"/>
  <c r="G78" i="1"/>
  <c r="F78" i="1" s="1"/>
  <c r="I78" i="1"/>
  <c r="P78" i="1" s="1"/>
  <c r="R78" i="1"/>
  <c r="Q78" i="1" s="1"/>
  <c r="V78" i="1"/>
  <c r="U78" i="1" s="1"/>
  <c r="AF78" i="1"/>
  <c r="AE78" i="1" s="1"/>
  <c r="AK78" i="1"/>
  <c r="AJ78" i="1" s="1"/>
  <c r="AM78" i="1"/>
  <c r="AL78" i="1" s="1"/>
  <c r="AO78" i="1"/>
  <c r="AN78" i="1" s="1"/>
  <c r="AP78" i="1" s="1"/>
  <c r="AR78" i="1"/>
  <c r="AQ78" i="1" s="1"/>
  <c r="AS78" i="1" s="1"/>
  <c r="AV78" i="1"/>
  <c r="AU78" i="1" s="1"/>
  <c r="AX78" i="1"/>
  <c r="AW78" i="1" s="1"/>
  <c r="AZ78" i="1"/>
  <c r="AY78" i="1" s="1"/>
  <c r="BB78" i="1"/>
  <c r="BA78" i="1" s="1"/>
  <c r="E77" i="1"/>
  <c r="D77" i="1" s="1"/>
  <c r="G77" i="1"/>
  <c r="F77" i="1" s="1"/>
  <c r="I77" i="1"/>
  <c r="P77" i="1" s="1"/>
  <c r="R77" i="1"/>
  <c r="Q77" i="1" s="1"/>
  <c r="V77" i="1"/>
  <c r="U77" i="1" s="1"/>
  <c r="AF77" i="1"/>
  <c r="AE77" i="1" s="1"/>
  <c r="AK77" i="1"/>
  <c r="AJ77" i="1" s="1"/>
  <c r="AM77" i="1"/>
  <c r="AL77" i="1" s="1"/>
  <c r="AO77" i="1"/>
  <c r="AN77" i="1" s="1"/>
  <c r="AP77" i="1" s="1"/>
  <c r="AR77" i="1"/>
  <c r="AQ77" i="1" s="1"/>
  <c r="AS77" i="1" s="1"/>
  <c r="AV77" i="1"/>
  <c r="AU77" i="1" s="1"/>
  <c r="AX77" i="1"/>
  <c r="AW77" i="1" s="1"/>
  <c r="AZ77" i="1"/>
  <c r="AY77" i="1" s="1"/>
  <c r="BB77" i="1"/>
  <c r="BA77" i="1" s="1"/>
  <c r="E76" i="1"/>
  <c r="D76" i="1" s="1"/>
  <c r="G76" i="1"/>
  <c r="F76" i="1" s="1"/>
  <c r="I76" i="1"/>
  <c r="P76" i="1" s="1"/>
  <c r="R76" i="1"/>
  <c r="Q76" i="1" s="1"/>
  <c r="V76" i="1"/>
  <c r="U76" i="1" s="1"/>
  <c r="AF76" i="1"/>
  <c r="AE76" i="1" s="1"/>
  <c r="AK76" i="1"/>
  <c r="AJ76" i="1" s="1"/>
  <c r="AM76" i="1"/>
  <c r="AL76" i="1" s="1"/>
  <c r="AO76" i="1"/>
  <c r="AN76" i="1" s="1"/>
  <c r="AP76" i="1" s="1"/>
  <c r="AR76" i="1"/>
  <c r="AQ76" i="1" s="1"/>
  <c r="AS76" i="1" s="1"/>
  <c r="AV76" i="1"/>
  <c r="AU76" i="1" s="1"/>
  <c r="AX76" i="1"/>
  <c r="AW76" i="1" s="1"/>
  <c r="AZ76" i="1"/>
  <c r="AY76" i="1" s="1"/>
  <c r="BB76" i="1"/>
  <c r="BA76" i="1" s="1"/>
  <c r="E73" i="1"/>
  <c r="D73" i="1" s="1"/>
  <c r="G73" i="1"/>
  <c r="F73" i="1" s="1"/>
  <c r="I73" i="1"/>
  <c r="H73" i="1" s="1"/>
  <c r="R73" i="1"/>
  <c r="Q73" i="1" s="1"/>
  <c r="V73" i="1"/>
  <c r="U73" i="1" s="1"/>
  <c r="AF73" i="1"/>
  <c r="AE73" i="1" s="1"/>
  <c r="AG73" i="1" s="1"/>
  <c r="AK73" i="1"/>
  <c r="AJ73" i="1" s="1"/>
  <c r="AM73" i="1"/>
  <c r="AL73" i="1" s="1"/>
  <c r="AO73" i="1"/>
  <c r="AN73" i="1" s="1"/>
  <c r="AP73" i="1" s="1"/>
  <c r="AR73" i="1"/>
  <c r="AT73" i="1" s="1"/>
  <c r="AV73" i="1"/>
  <c r="AU73" i="1" s="1"/>
  <c r="AX73" i="1"/>
  <c r="AW73" i="1" s="1"/>
  <c r="AZ73" i="1"/>
  <c r="AY73" i="1" s="1"/>
  <c r="BB73" i="1"/>
  <c r="BA73" i="1" s="1"/>
  <c r="E71" i="1"/>
  <c r="D71" i="1" s="1"/>
  <c r="G71" i="1"/>
  <c r="F71" i="1" s="1"/>
  <c r="I71" i="1"/>
  <c r="P71" i="1" s="1"/>
  <c r="R71" i="1"/>
  <c r="Q71" i="1" s="1"/>
  <c r="V71" i="1"/>
  <c r="U71" i="1" s="1"/>
  <c r="AF71" i="1"/>
  <c r="AE71" i="1" s="1"/>
  <c r="AK71" i="1"/>
  <c r="AJ71" i="1" s="1"/>
  <c r="AM71" i="1"/>
  <c r="AL71" i="1" s="1"/>
  <c r="AO71" i="1"/>
  <c r="AN71" i="1" s="1"/>
  <c r="AP71" i="1" s="1"/>
  <c r="AR71" i="1"/>
  <c r="AQ71" i="1" s="1"/>
  <c r="AS71" i="1" s="1"/>
  <c r="AV71" i="1"/>
  <c r="AU71" i="1" s="1"/>
  <c r="AX71" i="1"/>
  <c r="AW71" i="1" s="1"/>
  <c r="AZ71" i="1"/>
  <c r="AY71" i="1" s="1"/>
  <c r="BB71" i="1"/>
  <c r="BA71" i="1" s="1"/>
  <c r="E69" i="1"/>
  <c r="D69" i="1" s="1"/>
  <c r="G69" i="1"/>
  <c r="F69" i="1" s="1"/>
  <c r="I69" i="1"/>
  <c r="P69" i="1" s="1"/>
  <c r="R69" i="1"/>
  <c r="Q69" i="1" s="1"/>
  <c r="V69" i="1"/>
  <c r="U69" i="1" s="1"/>
  <c r="AF69" i="1"/>
  <c r="AE69" i="1" s="1"/>
  <c r="AK69" i="1"/>
  <c r="AJ69" i="1" s="1"/>
  <c r="AM69" i="1"/>
  <c r="AL69" i="1" s="1"/>
  <c r="AO69" i="1"/>
  <c r="AN69" i="1" s="1"/>
  <c r="AP69" i="1" s="1"/>
  <c r="AR69" i="1"/>
  <c r="AQ69" i="1" s="1"/>
  <c r="AS69" i="1" s="1"/>
  <c r="AV69" i="1"/>
  <c r="AU69" i="1" s="1"/>
  <c r="AX69" i="1"/>
  <c r="AW69" i="1" s="1"/>
  <c r="AZ69" i="1"/>
  <c r="AY69" i="1" s="1"/>
  <c r="BB69" i="1"/>
  <c r="BA69" i="1" s="1"/>
  <c r="E68" i="1"/>
  <c r="D68" i="1" s="1"/>
  <c r="G68" i="1"/>
  <c r="F68" i="1" s="1"/>
  <c r="I68" i="1"/>
  <c r="P68" i="1" s="1"/>
  <c r="R68" i="1"/>
  <c r="Q68" i="1" s="1"/>
  <c r="V68" i="1"/>
  <c r="U68" i="1" s="1"/>
  <c r="AF68" i="1"/>
  <c r="AE68" i="1" s="1"/>
  <c r="AG68" i="1" s="1"/>
  <c r="AK68" i="1"/>
  <c r="AJ68" i="1" s="1"/>
  <c r="AM68" i="1"/>
  <c r="AL68" i="1" s="1"/>
  <c r="AO68" i="1"/>
  <c r="AN68" i="1" s="1"/>
  <c r="AP68" i="1" s="1"/>
  <c r="AR68" i="1"/>
  <c r="AQ68" i="1" s="1"/>
  <c r="AS68" i="1" s="1"/>
  <c r="AV68" i="1"/>
  <c r="AU68" i="1" s="1"/>
  <c r="AX68" i="1"/>
  <c r="AW68" i="1" s="1"/>
  <c r="AZ68" i="1"/>
  <c r="AY68" i="1" s="1"/>
  <c r="BB68" i="1"/>
  <c r="BA68" i="1" s="1"/>
  <c r="G65" i="1"/>
  <c r="F65" i="1" s="1"/>
  <c r="I65" i="1"/>
  <c r="P65" i="1" s="1"/>
  <c r="R65" i="1"/>
  <c r="Q65" i="1" s="1"/>
  <c r="V65" i="1"/>
  <c r="U65" i="1" s="1"/>
  <c r="AF65" i="1"/>
  <c r="AE65" i="1" s="1"/>
  <c r="AK65" i="1"/>
  <c r="AJ65" i="1" s="1"/>
  <c r="AM65" i="1"/>
  <c r="AL65" i="1" s="1"/>
  <c r="AO65" i="1"/>
  <c r="AN65" i="1" s="1"/>
  <c r="AP65" i="1" s="1"/>
  <c r="AR65" i="1"/>
  <c r="AQ65" i="1" s="1"/>
  <c r="AS65" i="1" s="1"/>
  <c r="AV65" i="1"/>
  <c r="AU65" i="1" s="1"/>
  <c r="AX65" i="1"/>
  <c r="AW65" i="1" s="1"/>
  <c r="AZ65" i="1"/>
  <c r="AY65" i="1" s="1"/>
  <c r="BB65" i="1"/>
  <c r="E65" i="1" s="1"/>
  <c r="D65" i="1" s="1"/>
  <c r="G63" i="1"/>
  <c r="F63" i="1" s="1"/>
  <c r="I63" i="1"/>
  <c r="P63" i="1" s="1"/>
  <c r="R63" i="1"/>
  <c r="Q63" i="1" s="1"/>
  <c r="V63" i="1"/>
  <c r="U63" i="1" s="1"/>
  <c r="AF63" i="1"/>
  <c r="AE63" i="1" s="1"/>
  <c r="AK63" i="1"/>
  <c r="AJ63" i="1" s="1"/>
  <c r="AM63" i="1"/>
  <c r="AL63" i="1" s="1"/>
  <c r="AO63" i="1"/>
  <c r="AN63" i="1" s="1"/>
  <c r="AP63" i="1" s="1"/>
  <c r="AR63" i="1"/>
  <c r="AQ63" i="1" s="1"/>
  <c r="AS63" i="1" s="1"/>
  <c r="AV63" i="1"/>
  <c r="AU63" i="1" s="1"/>
  <c r="AX63" i="1"/>
  <c r="AW63" i="1" s="1"/>
  <c r="AZ63" i="1"/>
  <c r="AY63" i="1" s="1"/>
  <c r="BB63" i="1"/>
  <c r="E63" i="1" s="1"/>
  <c r="D63" i="1" s="1"/>
  <c r="E59" i="1"/>
  <c r="D59" i="1" s="1"/>
  <c r="G59" i="1"/>
  <c r="F59" i="1" s="1"/>
  <c r="I59" i="1"/>
  <c r="P59" i="1" s="1"/>
  <c r="R59" i="1"/>
  <c r="Q59" i="1" s="1"/>
  <c r="V59" i="1"/>
  <c r="U59" i="1" s="1"/>
  <c r="AF59" i="1"/>
  <c r="AE59" i="1" s="1"/>
  <c r="AK59" i="1"/>
  <c r="AJ59" i="1" s="1"/>
  <c r="AM59" i="1"/>
  <c r="AL59" i="1" s="1"/>
  <c r="AO59" i="1"/>
  <c r="AN59" i="1" s="1"/>
  <c r="AP59" i="1" s="1"/>
  <c r="AR59" i="1"/>
  <c r="AQ59" i="1" s="1"/>
  <c r="AS59" i="1" s="1"/>
  <c r="AV59" i="1"/>
  <c r="AU59" i="1" s="1"/>
  <c r="AX59" i="1"/>
  <c r="AW59" i="1" s="1"/>
  <c r="AZ59" i="1"/>
  <c r="AY59" i="1" s="1"/>
  <c r="BB59" i="1"/>
  <c r="BA59" i="1" s="1"/>
  <c r="E58" i="1"/>
  <c r="D58" i="1" s="1"/>
  <c r="G58" i="1"/>
  <c r="F58" i="1" s="1"/>
  <c r="I58" i="1"/>
  <c r="P58" i="1" s="1"/>
  <c r="R58" i="1"/>
  <c r="Q58" i="1" s="1"/>
  <c r="V58" i="1"/>
  <c r="U58" i="1" s="1"/>
  <c r="AF58" i="1"/>
  <c r="AE58" i="1" s="1"/>
  <c r="AK58" i="1"/>
  <c r="AJ58" i="1" s="1"/>
  <c r="AM58" i="1"/>
  <c r="AL58" i="1" s="1"/>
  <c r="AO58" i="1"/>
  <c r="AN58" i="1" s="1"/>
  <c r="AP58" i="1" s="1"/>
  <c r="AR58" i="1"/>
  <c r="AQ58" i="1" s="1"/>
  <c r="AS58" i="1" s="1"/>
  <c r="AV58" i="1"/>
  <c r="AU58" i="1" s="1"/>
  <c r="AX58" i="1"/>
  <c r="AW58" i="1" s="1"/>
  <c r="AZ58" i="1"/>
  <c r="AY58" i="1" s="1"/>
  <c r="BB58" i="1"/>
  <c r="BA58" i="1" s="1"/>
  <c r="E45" i="1"/>
  <c r="D45" i="1" s="1"/>
  <c r="F45" i="1"/>
  <c r="I45" i="1"/>
  <c r="P45" i="1" s="1"/>
  <c r="R45" i="1"/>
  <c r="Q45" i="1" s="1"/>
  <c r="V45" i="1"/>
  <c r="U45" i="1" s="1"/>
  <c r="AF45" i="1"/>
  <c r="AE45" i="1" s="1"/>
  <c r="AG45" i="1" s="1"/>
  <c r="AK45" i="1"/>
  <c r="AJ45" i="1" s="1"/>
  <c r="AM45" i="1"/>
  <c r="AL45" i="1" s="1"/>
  <c r="AO45" i="1"/>
  <c r="AN45" i="1" s="1"/>
  <c r="AP45" i="1" s="1"/>
  <c r="AR45" i="1"/>
  <c r="AQ45" i="1" s="1"/>
  <c r="AS45" i="1" s="1"/>
  <c r="AV45" i="1"/>
  <c r="AU45" i="1" s="1"/>
  <c r="AX45" i="1"/>
  <c r="AW45" i="1" s="1"/>
  <c r="AZ45" i="1"/>
  <c r="AY45" i="1" s="1"/>
  <c r="BB45" i="1"/>
  <c r="BA45" i="1" s="1"/>
  <c r="E41" i="1"/>
  <c r="D41" i="1" s="1"/>
  <c r="F41" i="1"/>
  <c r="I41" i="1"/>
  <c r="P41" i="1" s="1"/>
  <c r="R41" i="1"/>
  <c r="Q41" i="1" s="1"/>
  <c r="V41" i="1"/>
  <c r="U41" i="1" s="1"/>
  <c r="AF41" i="1"/>
  <c r="AE41" i="1" s="1"/>
  <c r="AK41" i="1"/>
  <c r="AJ41" i="1" s="1"/>
  <c r="AM41" i="1"/>
  <c r="AL41" i="1" s="1"/>
  <c r="AO41" i="1"/>
  <c r="AN41" i="1" s="1"/>
  <c r="AP41" i="1" s="1"/>
  <c r="AR41" i="1"/>
  <c r="AQ41" i="1" s="1"/>
  <c r="AS41" i="1" s="1"/>
  <c r="AV41" i="1"/>
  <c r="AU41" i="1" s="1"/>
  <c r="AX41" i="1"/>
  <c r="AW41" i="1" s="1"/>
  <c r="AZ41" i="1"/>
  <c r="AY41" i="1" s="1"/>
  <c r="BB41" i="1"/>
  <c r="BA41" i="1" s="1"/>
  <c r="BB40" i="1"/>
  <c r="BA40" i="1" s="1"/>
  <c r="AZ40" i="1"/>
  <c r="AY40" i="1" s="1"/>
  <c r="AX40" i="1"/>
  <c r="AW40" i="1" s="1"/>
  <c r="AV40" i="1"/>
  <c r="AU40" i="1" s="1"/>
  <c r="AR40" i="1"/>
  <c r="AT40" i="1" s="1"/>
  <c r="AO40" i="1"/>
  <c r="AN40" i="1" s="1"/>
  <c r="AP40" i="1" s="1"/>
  <c r="AM40" i="1"/>
  <c r="AL40" i="1" s="1"/>
  <c r="AK40" i="1"/>
  <c r="AJ40" i="1" s="1"/>
  <c r="AF40" i="1"/>
  <c r="AE40" i="1" s="1"/>
  <c r="AI40" i="1" s="1"/>
  <c r="V40" i="1"/>
  <c r="X40" i="1" s="1"/>
  <c r="R40" i="1"/>
  <c r="Q40" i="1" s="1"/>
  <c r="T40" i="1" s="1"/>
  <c r="I40" i="1"/>
  <c r="O40" i="1" s="1"/>
  <c r="G40" i="1"/>
  <c r="F40" i="1" s="1"/>
  <c r="E40" i="1"/>
  <c r="D40" i="1" s="1"/>
  <c r="F11" i="1"/>
  <c r="F12" i="1"/>
  <c r="F13" i="1"/>
  <c r="F14" i="1"/>
  <c r="F15" i="1"/>
  <c r="F16" i="1"/>
  <c r="F17" i="1"/>
  <c r="F18" i="1"/>
  <c r="F19" i="1"/>
  <c r="F20" i="1"/>
  <c r="F21" i="1"/>
  <c r="F22" i="1"/>
  <c r="F23" i="1"/>
  <c r="F24" i="1"/>
  <c r="F25" i="1"/>
  <c r="F26" i="1"/>
  <c r="F27" i="1"/>
  <c r="F28" i="1"/>
  <c r="O118" i="1" l="1"/>
  <c r="N118" i="1"/>
  <c r="M118" i="1"/>
  <c r="K97" i="1"/>
  <c r="L90" i="1"/>
  <c r="AT97" i="1"/>
  <c r="O111" i="1"/>
  <c r="X118" i="1"/>
  <c r="AB118" i="1" s="1"/>
  <c r="AT114" i="1"/>
  <c r="K100" i="1"/>
  <c r="N97" i="1"/>
  <c r="O114" i="1"/>
  <c r="M97" i="1"/>
  <c r="L100" i="1"/>
  <c r="L97" i="1"/>
  <c r="O97" i="1"/>
  <c r="N111" i="1"/>
  <c r="K78" i="1"/>
  <c r="M111" i="1"/>
  <c r="J97" i="1"/>
  <c r="M114" i="1"/>
  <c r="AT118" i="1"/>
  <c r="L118" i="1"/>
  <c r="X98" i="1"/>
  <c r="AA98" i="1" s="1"/>
  <c r="K114" i="1"/>
  <c r="K118" i="1"/>
  <c r="J83" i="1"/>
  <c r="AG118" i="1"/>
  <c r="AH118" i="1"/>
  <c r="AI118" i="1"/>
  <c r="X115" i="1"/>
  <c r="AB115" i="1" s="1"/>
  <c r="AT95" i="1"/>
  <c r="M115" i="1"/>
  <c r="K115" i="1"/>
  <c r="AT111" i="1"/>
  <c r="J115" i="1"/>
  <c r="N114" i="1"/>
  <c r="L98" i="1"/>
  <c r="L114" i="1"/>
  <c r="J110" i="1"/>
  <c r="AT115" i="1"/>
  <c r="L115" i="1"/>
  <c r="AT110" i="1"/>
  <c r="J114" i="1"/>
  <c r="M101" i="1"/>
  <c r="L111" i="1"/>
  <c r="J118" i="1"/>
  <c r="L101" i="1"/>
  <c r="K101" i="1"/>
  <c r="O98" i="1"/>
  <c r="O115" i="1"/>
  <c r="N90" i="1"/>
  <c r="J101" i="1"/>
  <c r="N98" i="1"/>
  <c r="N115" i="1"/>
  <c r="S118" i="1"/>
  <c r="T118" i="1"/>
  <c r="H118" i="1"/>
  <c r="N81" i="1"/>
  <c r="K110" i="1"/>
  <c r="X114" i="1"/>
  <c r="AD114" i="1" s="1"/>
  <c r="S115" i="1"/>
  <c r="T115" i="1"/>
  <c r="AG115" i="1"/>
  <c r="AH115" i="1"/>
  <c r="AI115" i="1"/>
  <c r="H115" i="1"/>
  <c r="M98" i="1"/>
  <c r="X99" i="1"/>
  <c r="AB99" i="1" s="1"/>
  <c r="M110" i="1"/>
  <c r="N110" i="1"/>
  <c r="L110" i="1"/>
  <c r="S114" i="1"/>
  <c r="T114" i="1"/>
  <c r="AG114" i="1"/>
  <c r="AH114" i="1"/>
  <c r="AI114" i="1"/>
  <c r="H114" i="1"/>
  <c r="T111" i="1"/>
  <c r="S111" i="1"/>
  <c r="K111" i="1"/>
  <c r="AT98" i="1"/>
  <c r="X110" i="1"/>
  <c r="AB110" i="1" s="1"/>
  <c r="J111" i="1"/>
  <c r="X111" i="1"/>
  <c r="W111" i="1" s="1"/>
  <c r="Y111" i="1" s="1"/>
  <c r="O110" i="1"/>
  <c r="AG111" i="1"/>
  <c r="AH111" i="1"/>
  <c r="AI111" i="1"/>
  <c r="H111" i="1"/>
  <c r="J100" i="1"/>
  <c r="O101" i="1"/>
  <c r="N101" i="1"/>
  <c r="AT100" i="1"/>
  <c r="X97" i="1"/>
  <c r="AB97" i="1" s="1"/>
  <c r="S110" i="1"/>
  <c r="T110" i="1"/>
  <c r="AI110" i="1"/>
  <c r="AH110" i="1"/>
  <c r="AG110" i="1"/>
  <c r="H110" i="1"/>
  <c r="M99" i="1"/>
  <c r="O100" i="1"/>
  <c r="L99" i="1"/>
  <c r="K98" i="1"/>
  <c r="N99" i="1"/>
  <c r="N100" i="1"/>
  <c r="AT99" i="1"/>
  <c r="K99" i="1"/>
  <c r="J98" i="1"/>
  <c r="M100" i="1"/>
  <c r="J99" i="1"/>
  <c r="AG98" i="1"/>
  <c r="AI98" i="1"/>
  <c r="AH98" i="1"/>
  <c r="N96" i="1"/>
  <c r="X100" i="1"/>
  <c r="AB100" i="1" s="1"/>
  <c r="O99" i="1"/>
  <c r="S97" i="1"/>
  <c r="T97" i="1"/>
  <c r="AG97" i="1"/>
  <c r="AH97" i="1"/>
  <c r="AI97" i="1"/>
  <c r="H97" i="1"/>
  <c r="S98" i="1"/>
  <c r="T98" i="1"/>
  <c r="H98" i="1"/>
  <c r="AG99" i="1"/>
  <c r="AI99" i="1"/>
  <c r="AH99" i="1"/>
  <c r="J96" i="1"/>
  <c r="J85" i="1"/>
  <c r="S99" i="1"/>
  <c r="T99" i="1"/>
  <c r="H99" i="1"/>
  <c r="AT63" i="1"/>
  <c r="K85" i="1"/>
  <c r="M96" i="1"/>
  <c r="AT101" i="1"/>
  <c r="M81" i="1"/>
  <c r="O90" i="1"/>
  <c r="X101" i="1"/>
  <c r="AB101" i="1" s="1"/>
  <c r="S100" i="1"/>
  <c r="T100" i="1"/>
  <c r="AI100" i="1"/>
  <c r="AH100" i="1"/>
  <c r="AG100" i="1"/>
  <c r="H100" i="1"/>
  <c r="L87" i="1"/>
  <c r="AT80" i="1"/>
  <c r="K87" i="1"/>
  <c r="X95" i="1"/>
  <c r="AB95" i="1" s="1"/>
  <c r="S101" i="1"/>
  <c r="T101" i="1"/>
  <c r="AG101" i="1"/>
  <c r="AH101" i="1"/>
  <c r="AI101" i="1"/>
  <c r="H101" i="1"/>
  <c r="O95" i="1"/>
  <c r="AT77" i="1"/>
  <c r="K90" i="1"/>
  <c r="N95" i="1"/>
  <c r="M95" i="1"/>
  <c r="K95" i="1"/>
  <c r="O96" i="1"/>
  <c r="J95" i="1"/>
  <c r="J77" i="1"/>
  <c r="M82" i="1"/>
  <c r="AT96" i="1"/>
  <c r="L96" i="1"/>
  <c r="L85" i="1"/>
  <c r="M90" i="1"/>
  <c r="K96" i="1"/>
  <c r="L95" i="1"/>
  <c r="AT76" i="1"/>
  <c r="J81" i="1"/>
  <c r="J90" i="1"/>
  <c r="L78" i="1"/>
  <c r="AT81" i="1"/>
  <c r="M87" i="1"/>
  <c r="X96" i="1"/>
  <c r="AB96" i="1" s="1"/>
  <c r="S95" i="1"/>
  <c r="T95" i="1"/>
  <c r="AI95" i="1"/>
  <c r="AG95" i="1"/>
  <c r="AH95" i="1"/>
  <c r="H95" i="1"/>
  <c r="AT45" i="1"/>
  <c r="M59" i="1"/>
  <c r="N82" i="1"/>
  <c r="AT90" i="1"/>
  <c r="K83" i="1"/>
  <c r="J87" i="1"/>
  <c r="J68" i="1"/>
  <c r="O81" i="1"/>
  <c r="X90" i="1"/>
  <c r="AB90" i="1" s="1"/>
  <c r="T96" i="1"/>
  <c r="S96" i="1"/>
  <c r="AG96" i="1"/>
  <c r="AH96" i="1"/>
  <c r="AI96" i="1"/>
  <c r="H96" i="1"/>
  <c r="AG90" i="1"/>
  <c r="AH90" i="1"/>
  <c r="AI90" i="1"/>
  <c r="M80" i="1"/>
  <c r="P87" i="1"/>
  <c r="O87" i="1"/>
  <c r="L83" i="1"/>
  <c r="N87" i="1"/>
  <c r="S90" i="1"/>
  <c r="T90" i="1"/>
  <c r="H90" i="1"/>
  <c r="O85" i="1"/>
  <c r="N85" i="1"/>
  <c r="AQ85" i="1"/>
  <c r="AS85" i="1" s="1"/>
  <c r="AQ87" i="1"/>
  <c r="AS87" i="1" s="1"/>
  <c r="P85" i="1"/>
  <c r="X81" i="1"/>
  <c r="AB81" i="1" s="1"/>
  <c r="X83" i="1"/>
  <c r="AA83" i="1" s="1"/>
  <c r="M85" i="1"/>
  <c r="X87" i="1"/>
  <c r="S87" i="1"/>
  <c r="T87" i="1"/>
  <c r="AI87" i="1"/>
  <c r="AH87" i="1"/>
  <c r="X63" i="1"/>
  <c r="AB63" i="1" s="1"/>
  <c r="O83" i="1"/>
  <c r="N83" i="1"/>
  <c r="AT78" i="1"/>
  <c r="X82" i="1"/>
  <c r="W82" i="1" s="1"/>
  <c r="Y82" i="1" s="1"/>
  <c r="AT83" i="1"/>
  <c r="M83" i="1"/>
  <c r="X85" i="1"/>
  <c r="T85" i="1"/>
  <c r="S85" i="1"/>
  <c r="AI85" i="1"/>
  <c r="AH85" i="1"/>
  <c r="P82" i="1"/>
  <c r="AT82" i="1"/>
  <c r="O82" i="1"/>
  <c r="X80" i="1"/>
  <c r="AB80" i="1" s="1"/>
  <c r="AG83" i="1"/>
  <c r="AI83" i="1"/>
  <c r="AH83" i="1"/>
  <c r="S83" i="1"/>
  <c r="T83" i="1"/>
  <c r="H83" i="1"/>
  <c r="L82" i="1"/>
  <c r="O80" i="1"/>
  <c r="K82" i="1"/>
  <c r="N80" i="1"/>
  <c r="J82" i="1"/>
  <c r="O78" i="1"/>
  <c r="N78" i="1"/>
  <c r="AT69" i="1"/>
  <c r="M78" i="1"/>
  <c r="S82" i="1"/>
  <c r="T82" i="1"/>
  <c r="AG82" i="1"/>
  <c r="AH82" i="1"/>
  <c r="AI82" i="1"/>
  <c r="L80" i="1"/>
  <c r="L81" i="1"/>
  <c r="J63" i="1"/>
  <c r="K80" i="1"/>
  <c r="K81" i="1"/>
  <c r="X77" i="1"/>
  <c r="AB77" i="1" s="1"/>
  <c r="J78" i="1"/>
  <c r="AT41" i="1"/>
  <c r="S81" i="1"/>
  <c r="T81" i="1"/>
  <c r="AH81" i="1"/>
  <c r="AG81" i="1"/>
  <c r="AI81" i="1"/>
  <c r="H81" i="1"/>
  <c r="AT68" i="1"/>
  <c r="X71" i="1"/>
  <c r="AB71" i="1" s="1"/>
  <c r="J80" i="1"/>
  <c r="M63" i="1"/>
  <c r="L63" i="1"/>
  <c r="J45" i="1"/>
  <c r="K63" i="1"/>
  <c r="X73" i="1"/>
  <c r="W73" i="1" s="1"/>
  <c r="Y73" i="1" s="1"/>
  <c r="X78" i="1"/>
  <c r="AB78" i="1" s="1"/>
  <c r="S80" i="1"/>
  <c r="T80" i="1"/>
  <c r="AG80" i="1"/>
  <c r="AI80" i="1"/>
  <c r="AH80" i="1"/>
  <c r="H80" i="1"/>
  <c r="K58" i="1"/>
  <c r="T78" i="1"/>
  <c r="S78" i="1"/>
  <c r="AI78" i="1"/>
  <c r="AG78" i="1"/>
  <c r="AH78" i="1"/>
  <c r="H78" i="1"/>
  <c r="O76" i="1"/>
  <c r="O73" i="1"/>
  <c r="N76" i="1"/>
  <c r="O77" i="1"/>
  <c r="N73" i="1"/>
  <c r="M76" i="1"/>
  <c r="N77" i="1"/>
  <c r="M73" i="1"/>
  <c r="L76" i="1"/>
  <c r="M77" i="1"/>
  <c r="L73" i="1"/>
  <c r="K76" i="1"/>
  <c r="L77" i="1"/>
  <c r="K65" i="1"/>
  <c r="K73" i="1"/>
  <c r="J76" i="1"/>
  <c r="K77" i="1"/>
  <c r="M71" i="1"/>
  <c r="L71" i="1"/>
  <c r="L68" i="1"/>
  <c r="K71" i="1"/>
  <c r="AT65" i="1"/>
  <c r="K68" i="1"/>
  <c r="AT71" i="1"/>
  <c r="J71" i="1"/>
  <c r="X76" i="1"/>
  <c r="AD76" i="1" s="1"/>
  <c r="AG77" i="1"/>
  <c r="AH77" i="1"/>
  <c r="AI77" i="1"/>
  <c r="S77" i="1"/>
  <c r="T77" i="1"/>
  <c r="H77" i="1"/>
  <c r="S76" i="1"/>
  <c r="T76" i="1"/>
  <c r="N69" i="1"/>
  <c r="O68" i="1"/>
  <c r="O69" i="1"/>
  <c r="M69" i="1"/>
  <c r="N68" i="1"/>
  <c r="K69" i="1"/>
  <c r="L69" i="1"/>
  <c r="M68" i="1"/>
  <c r="J69" i="1"/>
  <c r="P73" i="1"/>
  <c r="AG76" i="1"/>
  <c r="AH76" i="1"/>
  <c r="AI76" i="1"/>
  <c r="H76" i="1"/>
  <c r="AQ73" i="1"/>
  <c r="AS73" i="1" s="1"/>
  <c r="J73" i="1"/>
  <c r="O59" i="1"/>
  <c r="O71" i="1"/>
  <c r="AT58" i="1"/>
  <c r="N59" i="1"/>
  <c r="L65" i="1"/>
  <c r="N71" i="1"/>
  <c r="T73" i="1"/>
  <c r="S73" i="1"/>
  <c r="AI73" i="1"/>
  <c r="AH73" i="1"/>
  <c r="O65" i="1"/>
  <c r="N65" i="1"/>
  <c r="K45" i="1"/>
  <c r="M65" i="1"/>
  <c r="X69" i="1"/>
  <c r="AB69" i="1" s="1"/>
  <c r="S71" i="1"/>
  <c r="T71" i="1"/>
  <c r="AG71" i="1"/>
  <c r="AH71" i="1"/>
  <c r="AI71" i="1"/>
  <c r="H71" i="1"/>
  <c r="O63" i="1"/>
  <c r="X41" i="1"/>
  <c r="AB41" i="1" s="1"/>
  <c r="X59" i="1"/>
  <c r="AB59" i="1" s="1"/>
  <c r="N63" i="1"/>
  <c r="X68" i="1"/>
  <c r="AB68" i="1" s="1"/>
  <c r="AG69" i="1"/>
  <c r="AH69" i="1"/>
  <c r="AI69" i="1"/>
  <c r="T69" i="1"/>
  <c r="S69" i="1"/>
  <c r="H69" i="1"/>
  <c r="AT59" i="1"/>
  <c r="L59" i="1"/>
  <c r="X58" i="1"/>
  <c r="AB58" i="1" s="1"/>
  <c r="X65" i="1"/>
  <c r="W65" i="1" s="1"/>
  <c r="Y65" i="1" s="1"/>
  <c r="S68" i="1"/>
  <c r="T68" i="1"/>
  <c r="AI68" i="1"/>
  <c r="AH68" i="1"/>
  <c r="H68" i="1"/>
  <c r="L41" i="1"/>
  <c r="N58" i="1"/>
  <c r="K59" i="1"/>
  <c r="J65" i="1"/>
  <c r="N41" i="1"/>
  <c r="M41" i="1"/>
  <c r="AQ40" i="1"/>
  <c r="AS40" i="1" s="1"/>
  <c r="K41" i="1"/>
  <c r="M58" i="1"/>
  <c r="J59" i="1"/>
  <c r="J41" i="1"/>
  <c r="L58" i="1"/>
  <c r="S65" i="1"/>
  <c r="T65" i="1"/>
  <c r="AG65" i="1"/>
  <c r="AH65" i="1"/>
  <c r="AI65" i="1"/>
  <c r="H65" i="1"/>
  <c r="BA65" i="1"/>
  <c r="N45" i="1"/>
  <c r="O45" i="1"/>
  <c r="M45" i="1"/>
  <c r="J58" i="1"/>
  <c r="O41" i="1"/>
  <c r="L45" i="1"/>
  <c r="AI63" i="1"/>
  <c r="AG63" i="1"/>
  <c r="AH63" i="1"/>
  <c r="S63" i="1"/>
  <c r="T63" i="1"/>
  <c r="H63" i="1"/>
  <c r="BA63" i="1"/>
  <c r="AG59" i="1"/>
  <c r="AI59" i="1"/>
  <c r="O58" i="1"/>
  <c r="S59" i="1"/>
  <c r="T59" i="1"/>
  <c r="AH59" i="1"/>
  <c r="H59" i="1"/>
  <c r="X45" i="1"/>
  <c r="AB45" i="1" s="1"/>
  <c r="S58" i="1"/>
  <c r="T58" i="1"/>
  <c r="AG58" i="1"/>
  <c r="AH58" i="1"/>
  <c r="AI58" i="1"/>
  <c r="H58" i="1"/>
  <c r="S45" i="1"/>
  <c r="T45" i="1"/>
  <c r="AI45" i="1"/>
  <c r="AH45" i="1"/>
  <c r="H45" i="1"/>
  <c r="U40" i="1"/>
  <c r="S41" i="1"/>
  <c r="T41" i="1"/>
  <c r="AI41" i="1"/>
  <c r="AG41" i="1"/>
  <c r="AH41" i="1"/>
  <c r="H41" i="1"/>
  <c r="S40" i="1"/>
  <c r="H40" i="1"/>
  <c r="AD40" i="1"/>
  <c r="AC40" i="1"/>
  <c r="AA40" i="1"/>
  <c r="W40" i="1"/>
  <c r="Y40" i="1" s="1"/>
  <c r="AB40" i="1"/>
  <c r="Z40" i="1"/>
  <c r="J40" i="1"/>
  <c r="AH40" i="1"/>
  <c r="P40" i="1"/>
  <c r="K40" i="1"/>
  <c r="L40" i="1"/>
  <c r="AG40" i="1"/>
  <c r="M40" i="1"/>
  <c r="N40" i="1"/>
  <c r="AX103" i="1"/>
  <c r="AW103" i="1" s="1"/>
  <c r="AX104" i="1"/>
  <c r="AW104" i="1" s="1"/>
  <c r="AX105" i="1"/>
  <c r="AW105" i="1" s="1"/>
  <c r="AX106" i="1"/>
  <c r="AW106" i="1" s="1"/>
  <c r="AX107" i="1"/>
  <c r="AW107" i="1" s="1"/>
  <c r="AX125" i="1"/>
  <c r="AW125" i="1" s="1"/>
  <c r="AX124" i="1"/>
  <c r="AW124" i="1" s="1"/>
  <c r="AX120" i="1"/>
  <c r="AW120" i="1" s="1"/>
  <c r="AX119" i="1"/>
  <c r="AW119" i="1" s="1"/>
  <c r="AX117" i="1"/>
  <c r="AW117" i="1" s="1"/>
  <c r="AX116" i="1"/>
  <c r="AW116" i="1" s="1"/>
  <c r="AX113" i="1"/>
  <c r="AW113" i="1" s="1"/>
  <c r="AX112" i="1"/>
  <c r="AW112" i="1" s="1"/>
  <c r="AX109" i="1"/>
  <c r="AW109" i="1" s="1"/>
  <c r="AX108" i="1"/>
  <c r="AW108" i="1" s="1"/>
  <c r="AX43" i="1"/>
  <c r="AW43" i="1" s="1"/>
  <c r="AX44" i="1"/>
  <c r="AW44" i="1" s="1"/>
  <c r="AX46" i="1"/>
  <c r="AW46" i="1" s="1"/>
  <c r="AX47" i="1"/>
  <c r="AW47" i="1" s="1"/>
  <c r="AX48" i="1"/>
  <c r="AW48" i="1" s="1"/>
  <c r="AX49" i="1"/>
  <c r="AW49" i="1" s="1"/>
  <c r="AX50" i="1"/>
  <c r="AW50" i="1" s="1"/>
  <c r="AX51" i="1"/>
  <c r="AW51" i="1" s="1"/>
  <c r="AX52" i="1"/>
  <c r="AW52" i="1" s="1"/>
  <c r="AX53" i="1"/>
  <c r="AW53" i="1" s="1"/>
  <c r="AX54" i="1"/>
  <c r="AW54" i="1" s="1"/>
  <c r="AX55" i="1"/>
  <c r="AW55" i="1" s="1"/>
  <c r="AX56" i="1"/>
  <c r="AW56" i="1" s="1"/>
  <c r="AX57" i="1"/>
  <c r="AW57" i="1" s="1"/>
  <c r="AX60" i="1"/>
  <c r="AW60" i="1" s="1"/>
  <c r="AX61" i="1"/>
  <c r="AW61" i="1" s="1"/>
  <c r="AX62" i="1"/>
  <c r="AW62" i="1" s="1"/>
  <c r="AX64" i="1"/>
  <c r="AW64" i="1" s="1"/>
  <c r="AX66" i="1"/>
  <c r="AW66" i="1" s="1"/>
  <c r="AX67" i="1"/>
  <c r="AW67" i="1" s="1"/>
  <c r="AX70" i="1"/>
  <c r="AW70" i="1" s="1"/>
  <c r="AX72" i="1"/>
  <c r="AW72" i="1" s="1"/>
  <c r="AX74" i="1"/>
  <c r="AW74" i="1" s="1"/>
  <c r="AX75" i="1"/>
  <c r="AW75" i="1" s="1"/>
  <c r="AX79" i="1"/>
  <c r="AW79" i="1" s="1"/>
  <c r="AX84" i="1"/>
  <c r="AW84" i="1" s="1"/>
  <c r="AX86" i="1"/>
  <c r="AW86" i="1" s="1"/>
  <c r="AX88" i="1"/>
  <c r="AW88" i="1" s="1"/>
  <c r="AX89" i="1"/>
  <c r="AW89" i="1" s="1"/>
  <c r="AX91" i="1"/>
  <c r="AW91" i="1" s="1"/>
  <c r="AX92" i="1"/>
  <c r="AW92" i="1" s="1"/>
  <c r="AX93" i="1"/>
  <c r="AW93" i="1" s="1"/>
  <c r="AX94" i="1"/>
  <c r="AW94" i="1" s="1"/>
  <c r="AX102" i="1"/>
  <c r="AW102" i="1" s="1"/>
  <c r="AX42" i="1"/>
  <c r="AW42" i="1" s="1"/>
  <c r="W118" i="1" l="1"/>
  <c r="Y118" i="1" s="1"/>
  <c r="Z118" i="1"/>
  <c r="AD118" i="1"/>
  <c r="AC118" i="1"/>
  <c r="W98" i="1"/>
  <c r="Y98" i="1" s="1"/>
  <c r="AA118" i="1"/>
  <c r="W115" i="1"/>
  <c r="Y115" i="1" s="1"/>
  <c r="Z115" i="1"/>
  <c r="AC99" i="1"/>
  <c r="AC98" i="1"/>
  <c r="AB98" i="1"/>
  <c r="Z98" i="1"/>
  <c r="AD98" i="1"/>
  <c r="W99" i="1"/>
  <c r="Y99" i="1" s="1"/>
  <c r="AC115" i="1"/>
  <c r="AA115" i="1"/>
  <c r="AD115" i="1"/>
  <c r="W80" i="1"/>
  <c r="Y80" i="1" s="1"/>
  <c r="Z110" i="1"/>
  <c r="Z99" i="1"/>
  <c r="AA99" i="1"/>
  <c r="AB114" i="1"/>
  <c r="Z114" i="1"/>
  <c r="AA114" i="1"/>
  <c r="AC114" i="1"/>
  <c r="W114" i="1"/>
  <c r="Y114" i="1" s="1"/>
  <c r="AA110" i="1"/>
  <c r="AD110" i="1"/>
  <c r="AC110" i="1"/>
  <c r="W110" i="1"/>
  <c r="Y110" i="1" s="1"/>
  <c r="AD99" i="1"/>
  <c r="W97" i="1"/>
  <c r="Y97" i="1" s="1"/>
  <c r="AA97" i="1"/>
  <c r="AB111" i="1"/>
  <c r="Z111" i="1"/>
  <c r="AA111" i="1"/>
  <c r="AC111" i="1"/>
  <c r="AD111" i="1"/>
  <c r="AC97" i="1"/>
  <c r="AA100" i="1"/>
  <c r="AD97" i="1"/>
  <c r="Z97" i="1"/>
  <c r="W100" i="1"/>
  <c r="Y100" i="1" s="1"/>
  <c r="AC100" i="1"/>
  <c r="AD100" i="1"/>
  <c r="Z100" i="1"/>
  <c r="Z101" i="1"/>
  <c r="Z95" i="1"/>
  <c r="AC101" i="1"/>
  <c r="W101" i="1"/>
  <c r="Y101" i="1" s="1"/>
  <c r="AD101" i="1"/>
  <c r="AA101" i="1"/>
  <c r="W95" i="1"/>
  <c r="Y95" i="1" s="1"/>
  <c r="AA95" i="1"/>
  <c r="AD95" i="1"/>
  <c r="AC95" i="1"/>
  <c r="AC96" i="1"/>
  <c r="AA96" i="1"/>
  <c r="W96" i="1"/>
  <c r="Y96" i="1" s="1"/>
  <c r="AD96" i="1"/>
  <c r="Z96" i="1"/>
  <c r="AC90" i="1"/>
  <c r="AD90" i="1"/>
  <c r="AD63" i="1"/>
  <c r="W90" i="1"/>
  <c r="Y90" i="1" s="1"/>
  <c r="AC63" i="1"/>
  <c r="AA63" i="1"/>
  <c r="W63" i="1"/>
  <c r="Y63" i="1" s="1"/>
  <c r="Z63" i="1"/>
  <c r="AD71" i="1"/>
  <c r="AA90" i="1"/>
  <c r="Z90" i="1"/>
  <c r="AD82" i="1"/>
  <c r="AB82" i="1"/>
  <c r="AD80" i="1"/>
  <c r="AA80" i="1"/>
  <c r="Z81" i="1"/>
  <c r="AC80" i="1"/>
  <c r="AB83" i="1"/>
  <c r="Z83" i="1"/>
  <c r="AA81" i="1"/>
  <c r="AD81" i="1"/>
  <c r="W83" i="1"/>
  <c r="Y83" i="1" s="1"/>
  <c r="AB87" i="1"/>
  <c r="Z87" i="1"/>
  <c r="AC87" i="1"/>
  <c r="AA87" i="1"/>
  <c r="AD87" i="1"/>
  <c r="AC81" i="1"/>
  <c r="AC83" i="1"/>
  <c r="W81" i="1"/>
  <c r="Y81" i="1" s="1"/>
  <c r="AD83" i="1"/>
  <c r="W87" i="1"/>
  <c r="Y87" i="1" s="1"/>
  <c r="Z78" i="1"/>
  <c r="W85" i="1"/>
  <c r="Y85" i="1" s="1"/>
  <c r="AD85" i="1"/>
  <c r="Z85" i="1"/>
  <c r="AA85" i="1"/>
  <c r="AC85" i="1"/>
  <c r="AB85" i="1"/>
  <c r="AC82" i="1"/>
  <c r="Z82" i="1"/>
  <c r="AA82" i="1"/>
  <c r="Z80" i="1"/>
  <c r="AC77" i="1"/>
  <c r="AD73" i="1"/>
  <c r="AD77" i="1"/>
  <c r="AA77" i="1"/>
  <c r="AA71" i="1"/>
  <c r="AA73" i="1"/>
  <c r="W77" i="1"/>
  <c r="Y77" i="1" s="1"/>
  <c r="AC71" i="1"/>
  <c r="W71" i="1"/>
  <c r="Y71" i="1" s="1"/>
  <c r="Z77" i="1"/>
  <c r="AA78" i="1"/>
  <c r="AC73" i="1"/>
  <c r="AB73" i="1"/>
  <c r="W78" i="1"/>
  <c r="Y78" i="1" s="1"/>
  <c r="AC78" i="1"/>
  <c r="AD78" i="1"/>
  <c r="Z71" i="1"/>
  <c r="Z73" i="1"/>
  <c r="AC76" i="1"/>
  <c r="W76" i="1"/>
  <c r="Y76" i="1" s="1"/>
  <c r="AB76" i="1"/>
  <c r="Z76" i="1"/>
  <c r="AA76" i="1"/>
  <c r="W59" i="1"/>
  <c r="Y59" i="1" s="1"/>
  <c r="AC41" i="1"/>
  <c r="AA68" i="1"/>
  <c r="W41" i="1"/>
  <c r="Y41" i="1" s="1"/>
  <c r="AD69" i="1"/>
  <c r="AA69" i="1"/>
  <c r="Z69" i="1"/>
  <c r="AC69" i="1"/>
  <c r="AC68" i="1"/>
  <c r="AC59" i="1"/>
  <c r="AD59" i="1"/>
  <c r="W69" i="1"/>
  <c r="Y69" i="1" s="1"/>
  <c r="AD41" i="1"/>
  <c r="Z68" i="1"/>
  <c r="W45" i="1"/>
  <c r="Y45" i="1" s="1"/>
  <c r="AA65" i="1"/>
  <c r="AD65" i="1"/>
  <c r="Z41" i="1"/>
  <c r="W68" i="1"/>
  <c r="Y68" i="1" s="1"/>
  <c r="AD68" i="1"/>
  <c r="AC65" i="1"/>
  <c r="Z59" i="1"/>
  <c r="AA41" i="1"/>
  <c r="AA59" i="1"/>
  <c r="Z58" i="1"/>
  <c r="AA58" i="1"/>
  <c r="AC58" i="1"/>
  <c r="AD58" i="1"/>
  <c r="AB65" i="1"/>
  <c r="Z65" i="1"/>
  <c r="W58" i="1"/>
  <c r="Y58" i="1" s="1"/>
  <c r="Z45" i="1"/>
  <c r="AC45" i="1"/>
  <c r="AD45" i="1"/>
  <c r="AA45" i="1"/>
  <c r="AO12" i="1"/>
  <c r="AO13" i="1"/>
  <c r="AO14" i="1"/>
  <c r="AO15" i="1"/>
  <c r="AO16" i="1"/>
  <c r="AO17" i="1"/>
  <c r="AO18" i="1"/>
  <c r="AO19" i="1"/>
  <c r="AO20" i="1"/>
  <c r="AO23" i="1"/>
  <c r="AO24" i="1"/>
  <c r="AO25" i="1"/>
  <c r="AO26" i="1"/>
  <c r="AO27" i="1"/>
  <c r="AO28" i="1"/>
  <c r="AO29" i="1"/>
  <c r="AO30" i="1"/>
  <c r="AO11" i="1"/>
  <c r="AX12" i="1"/>
  <c r="AX13" i="1"/>
  <c r="AX14" i="1"/>
  <c r="AX15" i="1"/>
  <c r="AX16" i="1"/>
  <c r="AX17" i="1"/>
  <c r="AX18" i="1"/>
  <c r="AX19" i="1"/>
  <c r="AX20" i="1"/>
  <c r="AX23" i="1"/>
  <c r="AX24" i="1"/>
  <c r="AX25" i="1"/>
  <c r="AX26" i="1"/>
  <c r="AX27" i="1"/>
  <c r="AX28" i="1"/>
  <c r="AX29" i="1"/>
  <c r="AX30" i="1"/>
  <c r="AX11" i="1"/>
  <c r="F29" i="1" l="1"/>
  <c r="F30" i="1"/>
  <c r="AY17" i="1" l="1"/>
  <c r="U17" i="1"/>
  <c r="W17" i="1"/>
  <c r="E17" i="1" l="1"/>
  <c r="D17" i="1" s="1"/>
  <c r="G17" i="1"/>
  <c r="I17" i="1"/>
  <c r="V17" i="1"/>
  <c r="X17" i="1"/>
  <c r="Y17" i="1"/>
  <c r="Z17" i="1"/>
  <c r="AA17" i="1"/>
  <c r="AB17" i="1"/>
  <c r="AC17" i="1"/>
  <c r="AD17" i="1"/>
  <c r="AK17" i="1"/>
  <c r="AM17" i="1"/>
  <c r="AP17" i="1"/>
  <c r="AV17" i="1"/>
  <c r="AZ17" i="1"/>
  <c r="BB17" i="1"/>
  <c r="BA17" i="1" s="1"/>
  <c r="M17" i="1" l="1"/>
  <c r="P17" i="1"/>
  <c r="J17" i="1"/>
  <c r="N17" i="1"/>
  <c r="L17" i="1"/>
  <c r="K17" i="1"/>
  <c r="O17" i="1"/>
  <c r="G106" i="1" l="1"/>
  <c r="F106" i="1" s="1"/>
  <c r="I106" i="1"/>
  <c r="J106" i="1" s="1"/>
  <c r="R106" i="1"/>
  <c r="Q106" i="1" s="1"/>
  <c r="V106" i="1"/>
  <c r="U106" i="1" s="1"/>
  <c r="AF106" i="1"/>
  <c r="AE106" i="1" s="1"/>
  <c r="AO106" i="1"/>
  <c r="AN106" i="1" s="1"/>
  <c r="AP106" i="1" s="1"/>
  <c r="AR106" i="1"/>
  <c r="AT106" i="1" s="1"/>
  <c r="AV106" i="1"/>
  <c r="AU106" i="1" s="1"/>
  <c r="BB106" i="1"/>
  <c r="E106" i="1" s="1"/>
  <c r="D106" i="1" s="1"/>
  <c r="E44" i="1"/>
  <c r="D44" i="1" s="1"/>
  <c r="F44" i="1"/>
  <c r="I44" i="1"/>
  <c r="R44" i="1"/>
  <c r="Q44" i="1" s="1"/>
  <c r="V44" i="1"/>
  <c r="AF44" i="1"/>
  <c r="AE44" i="1" s="1"/>
  <c r="AI44" i="1" s="1"/>
  <c r="AO44" i="1"/>
  <c r="AN44" i="1" s="1"/>
  <c r="AP44" i="1" s="1"/>
  <c r="AR44" i="1"/>
  <c r="AV44" i="1"/>
  <c r="AU44" i="1" s="1"/>
  <c r="BB44" i="1"/>
  <c r="BA44" i="1" s="1"/>
  <c r="E46" i="1"/>
  <c r="D46" i="1" s="1"/>
  <c r="G46" i="1"/>
  <c r="F46" i="1" s="1"/>
  <c r="I46" i="1"/>
  <c r="M46" i="1" s="1"/>
  <c r="R46" i="1"/>
  <c r="Q46" i="1" s="1"/>
  <c r="V46" i="1"/>
  <c r="AF46" i="1"/>
  <c r="AE46" i="1" s="1"/>
  <c r="AH46" i="1" s="1"/>
  <c r="AO46" i="1"/>
  <c r="AN46" i="1" s="1"/>
  <c r="AP46" i="1" s="1"/>
  <c r="AR46" i="1"/>
  <c r="AQ46" i="1" s="1"/>
  <c r="AS46" i="1" s="1"/>
  <c r="AV46" i="1"/>
  <c r="AU46" i="1" s="1"/>
  <c r="BB46" i="1"/>
  <c r="BA46" i="1" s="1"/>
  <c r="E47" i="1"/>
  <c r="D47" i="1" s="1"/>
  <c r="G47" i="1"/>
  <c r="F47" i="1" s="1"/>
  <c r="I47" i="1"/>
  <c r="M47" i="1" s="1"/>
  <c r="R47" i="1"/>
  <c r="Q47" i="1" s="1"/>
  <c r="V47" i="1"/>
  <c r="X47" i="1" s="1"/>
  <c r="AC47" i="1" s="1"/>
  <c r="AF47" i="1"/>
  <c r="AE47" i="1" s="1"/>
  <c r="AO47" i="1"/>
  <c r="AN47" i="1" s="1"/>
  <c r="AP47" i="1" s="1"/>
  <c r="AR47" i="1"/>
  <c r="AQ47" i="1" s="1"/>
  <c r="AS47" i="1" s="1"/>
  <c r="AV47" i="1"/>
  <c r="AU47" i="1" s="1"/>
  <c r="BB47" i="1"/>
  <c r="BA47" i="1" s="1"/>
  <c r="E55" i="1"/>
  <c r="D55" i="1" s="1"/>
  <c r="G55" i="1"/>
  <c r="F55" i="1" s="1"/>
  <c r="I55" i="1"/>
  <c r="M55" i="1" s="1"/>
  <c r="R55" i="1"/>
  <c r="Q55" i="1" s="1"/>
  <c r="S55" i="1" s="1"/>
  <c r="V55" i="1"/>
  <c r="U55" i="1" s="1"/>
  <c r="AF55" i="1"/>
  <c r="AE55" i="1" s="1"/>
  <c r="AO55" i="1"/>
  <c r="AN55" i="1" s="1"/>
  <c r="AP55" i="1" s="1"/>
  <c r="AR55" i="1"/>
  <c r="AV55" i="1"/>
  <c r="AU55" i="1" s="1"/>
  <c r="BB55" i="1"/>
  <c r="BA55" i="1" s="1"/>
  <c r="E57" i="1"/>
  <c r="D57" i="1" s="1"/>
  <c r="G57" i="1"/>
  <c r="F57" i="1" s="1"/>
  <c r="I57" i="1"/>
  <c r="H57" i="1" s="1"/>
  <c r="R57" i="1"/>
  <c r="Q57" i="1" s="1"/>
  <c r="T57" i="1" s="1"/>
  <c r="V57" i="1"/>
  <c r="U57" i="1" s="1"/>
  <c r="AF57" i="1"/>
  <c r="AE57" i="1" s="1"/>
  <c r="AI57" i="1" s="1"/>
  <c r="AO57" i="1"/>
  <c r="AN57" i="1" s="1"/>
  <c r="AP57" i="1" s="1"/>
  <c r="AR57" i="1"/>
  <c r="AT57" i="1" s="1"/>
  <c r="AV57" i="1"/>
  <c r="AU57" i="1" s="1"/>
  <c r="BB57" i="1"/>
  <c r="BA57" i="1" s="1"/>
  <c r="E60" i="1"/>
  <c r="D60" i="1" s="1"/>
  <c r="G60" i="1"/>
  <c r="F60" i="1" s="1"/>
  <c r="I60" i="1"/>
  <c r="H60" i="1" s="1"/>
  <c r="R60" i="1"/>
  <c r="Q60" i="1" s="1"/>
  <c r="S60" i="1" s="1"/>
  <c r="V60" i="1"/>
  <c r="AF60" i="1"/>
  <c r="AE60" i="1" s="1"/>
  <c r="AO60" i="1"/>
  <c r="AN60" i="1" s="1"/>
  <c r="AP60" i="1" s="1"/>
  <c r="AR60" i="1"/>
  <c r="AQ60" i="1" s="1"/>
  <c r="AS60" i="1" s="1"/>
  <c r="AV60" i="1"/>
  <c r="AU60" i="1" s="1"/>
  <c r="BB60" i="1"/>
  <c r="BA60" i="1" s="1"/>
  <c r="E61" i="1"/>
  <c r="D61" i="1" s="1"/>
  <c r="G61" i="1"/>
  <c r="F61" i="1" s="1"/>
  <c r="I61" i="1"/>
  <c r="R61" i="1"/>
  <c r="Q61" i="1" s="1"/>
  <c r="V61" i="1"/>
  <c r="X61" i="1" s="1"/>
  <c r="AC61" i="1" s="1"/>
  <c r="AF61" i="1"/>
  <c r="AE61" i="1" s="1"/>
  <c r="AH61" i="1" s="1"/>
  <c r="AO61" i="1"/>
  <c r="AN61" i="1" s="1"/>
  <c r="AP61" i="1" s="1"/>
  <c r="AR61" i="1"/>
  <c r="AT61" i="1" s="1"/>
  <c r="AV61" i="1"/>
  <c r="AU61" i="1" s="1"/>
  <c r="BB61" i="1"/>
  <c r="BA61" i="1" s="1"/>
  <c r="G66" i="1"/>
  <c r="F66" i="1" s="1"/>
  <c r="I66" i="1"/>
  <c r="M66" i="1" s="1"/>
  <c r="R66" i="1"/>
  <c r="Q66" i="1" s="1"/>
  <c r="S66" i="1" s="1"/>
  <c r="V66" i="1"/>
  <c r="U66" i="1" s="1"/>
  <c r="AF66" i="1"/>
  <c r="AE66" i="1" s="1"/>
  <c r="AO66" i="1"/>
  <c r="AN66" i="1" s="1"/>
  <c r="AP66" i="1" s="1"/>
  <c r="AR66" i="1"/>
  <c r="AV66" i="1"/>
  <c r="AU66" i="1" s="1"/>
  <c r="BB66" i="1"/>
  <c r="E67" i="1"/>
  <c r="D67" i="1" s="1"/>
  <c r="G67" i="1"/>
  <c r="F67" i="1" s="1"/>
  <c r="I67" i="1"/>
  <c r="R67" i="1"/>
  <c r="Q67" i="1" s="1"/>
  <c r="V67" i="1"/>
  <c r="U67" i="1" s="1"/>
  <c r="AF67" i="1"/>
  <c r="AE67" i="1" s="1"/>
  <c r="AO67" i="1"/>
  <c r="AN67" i="1" s="1"/>
  <c r="AP67" i="1" s="1"/>
  <c r="AR67" i="1"/>
  <c r="AT67" i="1" s="1"/>
  <c r="AV67" i="1"/>
  <c r="AU67" i="1" s="1"/>
  <c r="BB67" i="1"/>
  <c r="BA67" i="1" s="1"/>
  <c r="E72" i="1"/>
  <c r="D72" i="1" s="1"/>
  <c r="G72" i="1"/>
  <c r="F72" i="1" s="1"/>
  <c r="I72" i="1"/>
  <c r="J72" i="1" s="1"/>
  <c r="R72" i="1"/>
  <c r="Q72" i="1" s="1"/>
  <c r="T72" i="1" s="1"/>
  <c r="V72" i="1"/>
  <c r="U72" i="1" s="1"/>
  <c r="AF72" i="1"/>
  <c r="AE72" i="1" s="1"/>
  <c r="AO72" i="1"/>
  <c r="AN72" i="1" s="1"/>
  <c r="AP72" i="1" s="1"/>
  <c r="AR72" i="1"/>
  <c r="AT72" i="1" s="1"/>
  <c r="AV72" i="1"/>
  <c r="AU72" i="1" s="1"/>
  <c r="BB72" i="1"/>
  <c r="BA72" i="1" s="1"/>
  <c r="E74" i="1"/>
  <c r="D74" i="1" s="1"/>
  <c r="G74" i="1"/>
  <c r="F74" i="1" s="1"/>
  <c r="I74" i="1"/>
  <c r="K74" i="1" s="1"/>
  <c r="R74" i="1"/>
  <c r="Q74" i="1" s="1"/>
  <c r="V74" i="1"/>
  <c r="AF74" i="1"/>
  <c r="AE74" i="1" s="1"/>
  <c r="AI74" i="1" s="1"/>
  <c r="AO74" i="1"/>
  <c r="AN74" i="1" s="1"/>
  <c r="AP74" i="1" s="1"/>
  <c r="AR74" i="1"/>
  <c r="AV74" i="1"/>
  <c r="AU74" i="1" s="1"/>
  <c r="BB74" i="1"/>
  <c r="BA74" i="1" s="1"/>
  <c r="E75" i="1"/>
  <c r="D75" i="1" s="1"/>
  <c r="G75" i="1"/>
  <c r="F75" i="1" s="1"/>
  <c r="I75" i="1"/>
  <c r="J75" i="1" s="1"/>
  <c r="R75" i="1"/>
  <c r="Q75" i="1" s="1"/>
  <c r="V75" i="1"/>
  <c r="AF75" i="1"/>
  <c r="AE75" i="1" s="1"/>
  <c r="AO75" i="1"/>
  <c r="AN75" i="1" s="1"/>
  <c r="AP75" i="1" s="1"/>
  <c r="AR75" i="1"/>
  <c r="AV75" i="1"/>
  <c r="AU75" i="1" s="1"/>
  <c r="BB75" i="1"/>
  <c r="BA75" i="1" s="1"/>
  <c r="E79" i="1"/>
  <c r="D79" i="1" s="1"/>
  <c r="G79" i="1"/>
  <c r="F79" i="1" s="1"/>
  <c r="I79" i="1"/>
  <c r="R79" i="1"/>
  <c r="Q79" i="1" s="1"/>
  <c r="V79" i="1"/>
  <c r="AF79" i="1"/>
  <c r="AE79" i="1" s="1"/>
  <c r="AH79" i="1" s="1"/>
  <c r="AO79" i="1"/>
  <c r="AN79" i="1" s="1"/>
  <c r="AP79" i="1" s="1"/>
  <c r="AR79" i="1"/>
  <c r="AT79" i="1" s="1"/>
  <c r="AV79" i="1"/>
  <c r="AU79" i="1" s="1"/>
  <c r="BB79" i="1"/>
  <c r="BA79" i="1" s="1"/>
  <c r="E84" i="1"/>
  <c r="D84" i="1" s="1"/>
  <c r="G84" i="1"/>
  <c r="F84" i="1" s="1"/>
  <c r="I84" i="1"/>
  <c r="K84" i="1" s="1"/>
  <c r="R84" i="1"/>
  <c r="Q84" i="1" s="1"/>
  <c r="V84" i="1"/>
  <c r="AF84" i="1"/>
  <c r="AE84" i="1" s="1"/>
  <c r="AO84" i="1"/>
  <c r="AN84" i="1" s="1"/>
  <c r="AP84" i="1" s="1"/>
  <c r="AR84" i="1"/>
  <c r="AV84" i="1"/>
  <c r="AU84" i="1" s="1"/>
  <c r="BB84" i="1"/>
  <c r="BA84" i="1" s="1"/>
  <c r="E89" i="1"/>
  <c r="D89" i="1" s="1"/>
  <c r="G89" i="1"/>
  <c r="F89" i="1" s="1"/>
  <c r="I89" i="1"/>
  <c r="N89" i="1" s="1"/>
  <c r="R89" i="1"/>
  <c r="Q89" i="1" s="1"/>
  <c r="S89" i="1" s="1"/>
  <c r="V89" i="1"/>
  <c r="AF89" i="1"/>
  <c r="AE89" i="1" s="1"/>
  <c r="AH89" i="1" s="1"/>
  <c r="AO89" i="1"/>
  <c r="AN89" i="1" s="1"/>
  <c r="AP89" i="1" s="1"/>
  <c r="AR89" i="1"/>
  <c r="AV89" i="1"/>
  <c r="AU89" i="1" s="1"/>
  <c r="BB89" i="1"/>
  <c r="BA89" i="1" s="1"/>
  <c r="E92" i="1"/>
  <c r="D92" i="1" s="1"/>
  <c r="G92" i="1"/>
  <c r="F92" i="1" s="1"/>
  <c r="I92" i="1"/>
  <c r="K92" i="1" s="1"/>
  <c r="R92" i="1"/>
  <c r="Q92" i="1" s="1"/>
  <c r="T92" i="1" s="1"/>
  <c r="V92" i="1"/>
  <c r="X92" i="1" s="1"/>
  <c r="W92" i="1" s="1"/>
  <c r="Y92" i="1" s="1"/>
  <c r="AF92" i="1"/>
  <c r="AE92" i="1" s="1"/>
  <c r="AH92" i="1" s="1"/>
  <c r="AO92" i="1"/>
  <c r="AN92" i="1" s="1"/>
  <c r="AP92" i="1" s="1"/>
  <c r="AR92" i="1"/>
  <c r="AQ92" i="1" s="1"/>
  <c r="AS92" i="1" s="1"/>
  <c r="AV92" i="1"/>
  <c r="AU92" i="1" s="1"/>
  <c r="BB92" i="1"/>
  <c r="BA92" i="1" s="1"/>
  <c r="E94" i="1"/>
  <c r="D94" i="1" s="1"/>
  <c r="G94" i="1"/>
  <c r="F94" i="1" s="1"/>
  <c r="I94" i="1"/>
  <c r="M94" i="1" s="1"/>
  <c r="R94" i="1"/>
  <c r="Q94" i="1" s="1"/>
  <c r="S94" i="1" s="1"/>
  <c r="V94" i="1"/>
  <c r="AF94" i="1"/>
  <c r="AE94" i="1" s="1"/>
  <c r="AH94" i="1" s="1"/>
  <c r="AO94" i="1"/>
  <c r="AN94" i="1" s="1"/>
  <c r="AP94" i="1" s="1"/>
  <c r="AR94" i="1"/>
  <c r="AQ94" i="1" s="1"/>
  <c r="AS94" i="1" s="1"/>
  <c r="AV94" i="1"/>
  <c r="AU94" i="1" s="1"/>
  <c r="BB94" i="1"/>
  <c r="BA94" i="1" s="1"/>
  <c r="E102" i="1"/>
  <c r="D102" i="1" s="1"/>
  <c r="G102" i="1"/>
  <c r="F102" i="1" s="1"/>
  <c r="I102" i="1"/>
  <c r="K102" i="1" s="1"/>
  <c r="R102" i="1"/>
  <c r="Q102" i="1" s="1"/>
  <c r="T102" i="1" s="1"/>
  <c r="V102" i="1"/>
  <c r="X102" i="1" s="1"/>
  <c r="AA102" i="1" s="1"/>
  <c r="AF102" i="1"/>
  <c r="AE102" i="1" s="1"/>
  <c r="AO102" i="1"/>
  <c r="AN102" i="1" s="1"/>
  <c r="AP102" i="1" s="1"/>
  <c r="AR102" i="1"/>
  <c r="AT102" i="1" s="1"/>
  <c r="AV102" i="1"/>
  <c r="AU102" i="1" s="1"/>
  <c r="BB102" i="1"/>
  <c r="BA102" i="1" s="1"/>
  <c r="E108" i="1"/>
  <c r="D108" i="1" s="1"/>
  <c r="G108" i="1"/>
  <c r="F108" i="1" s="1"/>
  <c r="I108" i="1"/>
  <c r="L108" i="1" s="1"/>
  <c r="R108" i="1"/>
  <c r="Q108" i="1" s="1"/>
  <c r="S108" i="1" s="1"/>
  <c r="V108" i="1"/>
  <c r="U108" i="1" s="1"/>
  <c r="AF108" i="1"/>
  <c r="AE108" i="1" s="1"/>
  <c r="AO108" i="1"/>
  <c r="AN108" i="1" s="1"/>
  <c r="AP108" i="1" s="1"/>
  <c r="AR108" i="1"/>
  <c r="AQ108" i="1" s="1"/>
  <c r="AS108" i="1" s="1"/>
  <c r="AV108" i="1"/>
  <c r="AU108" i="1" s="1"/>
  <c r="BB108" i="1"/>
  <c r="BA108" i="1" s="1"/>
  <c r="E109" i="1"/>
  <c r="D109" i="1" s="1"/>
  <c r="G109" i="1"/>
  <c r="F109" i="1" s="1"/>
  <c r="I109" i="1"/>
  <c r="N109" i="1" s="1"/>
  <c r="R109" i="1"/>
  <c r="Q109" i="1" s="1"/>
  <c r="T109" i="1" s="1"/>
  <c r="V109" i="1"/>
  <c r="X109" i="1" s="1"/>
  <c r="AA109" i="1" s="1"/>
  <c r="AF109" i="1"/>
  <c r="AE109" i="1" s="1"/>
  <c r="AH109" i="1" s="1"/>
  <c r="AO109" i="1"/>
  <c r="AN109" i="1" s="1"/>
  <c r="AP109" i="1" s="1"/>
  <c r="AR109" i="1"/>
  <c r="AT109" i="1" s="1"/>
  <c r="AV109" i="1"/>
  <c r="AU109" i="1" s="1"/>
  <c r="BB109" i="1"/>
  <c r="BA109" i="1" s="1"/>
  <c r="E112" i="1"/>
  <c r="D112" i="1" s="1"/>
  <c r="G112" i="1"/>
  <c r="F112" i="1" s="1"/>
  <c r="I112" i="1"/>
  <c r="P112" i="1" s="1"/>
  <c r="R112" i="1"/>
  <c r="Q112" i="1" s="1"/>
  <c r="V112" i="1"/>
  <c r="AF112" i="1"/>
  <c r="AE112" i="1" s="1"/>
  <c r="AI112" i="1" s="1"/>
  <c r="AO112" i="1"/>
  <c r="AN112" i="1" s="1"/>
  <c r="AP112" i="1" s="1"/>
  <c r="AR112" i="1"/>
  <c r="AQ112" i="1" s="1"/>
  <c r="AS112" i="1" s="1"/>
  <c r="AV112" i="1"/>
  <c r="AU112" i="1" s="1"/>
  <c r="BB112" i="1"/>
  <c r="BA112" i="1" s="1"/>
  <c r="E113" i="1"/>
  <c r="D113" i="1" s="1"/>
  <c r="G113" i="1"/>
  <c r="F113" i="1" s="1"/>
  <c r="I113" i="1"/>
  <c r="R113" i="1"/>
  <c r="Q113" i="1" s="1"/>
  <c r="T113" i="1" s="1"/>
  <c r="V113" i="1"/>
  <c r="U113" i="1" s="1"/>
  <c r="AF113" i="1"/>
  <c r="AE113" i="1" s="1"/>
  <c r="AO113" i="1"/>
  <c r="AN113" i="1" s="1"/>
  <c r="AP113" i="1" s="1"/>
  <c r="AR113" i="1"/>
  <c r="AV113" i="1"/>
  <c r="AU113" i="1" s="1"/>
  <c r="BB113" i="1"/>
  <c r="BA113" i="1" s="1"/>
  <c r="E116" i="1"/>
  <c r="D116" i="1" s="1"/>
  <c r="G116" i="1"/>
  <c r="F116" i="1" s="1"/>
  <c r="I116" i="1"/>
  <c r="L116" i="1" s="1"/>
  <c r="R116" i="1"/>
  <c r="Q116" i="1" s="1"/>
  <c r="S116" i="1" s="1"/>
  <c r="V116" i="1"/>
  <c r="AF116" i="1"/>
  <c r="AE116" i="1" s="1"/>
  <c r="AO116" i="1"/>
  <c r="AN116" i="1" s="1"/>
  <c r="AP116" i="1" s="1"/>
  <c r="AR116" i="1"/>
  <c r="AT116" i="1" s="1"/>
  <c r="AV116" i="1"/>
  <c r="AU116" i="1" s="1"/>
  <c r="BB116" i="1"/>
  <c r="BA116" i="1" s="1"/>
  <c r="E117" i="1"/>
  <c r="D117" i="1" s="1"/>
  <c r="G117" i="1"/>
  <c r="F117" i="1" s="1"/>
  <c r="I117" i="1"/>
  <c r="L117" i="1" s="1"/>
  <c r="R117" i="1"/>
  <c r="Q117" i="1" s="1"/>
  <c r="S117" i="1" s="1"/>
  <c r="V117" i="1"/>
  <c r="U117" i="1" s="1"/>
  <c r="AF117" i="1"/>
  <c r="AE117" i="1" s="1"/>
  <c r="AO117" i="1"/>
  <c r="AN117" i="1" s="1"/>
  <c r="AP117" i="1" s="1"/>
  <c r="AR117" i="1"/>
  <c r="AV117" i="1"/>
  <c r="AU117" i="1" s="1"/>
  <c r="BB117" i="1"/>
  <c r="BA117" i="1" s="1"/>
  <c r="E119" i="1"/>
  <c r="D119" i="1" s="1"/>
  <c r="G119" i="1"/>
  <c r="F119" i="1" s="1"/>
  <c r="I119" i="1"/>
  <c r="N119" i="1" s="1"/>
  <c r="R119" i="1"/>
  <c r="Q119" i="1" s="1"/>
  <c r="T119" i="1" s="1"/>
  <c r="V119" i="1"/>
  <c r="X119" i="1" s="1"/>
  <c r="W119" i="1" s="1"/>
  <c r="Y119" i="1" s="1"/>
  <c r="AF119" i="1"/>
  <c r="AE119" i="1" s="1"/>
  <c r="AI119" i="1" s="1"/>
  <c r="AO119" i="1"/>
  <c r="AN119" i="1" s="1"/>
  <c r="AP119" i="1" s="1"/>
  <c r="AR119" i="1"/>
  <c r="AQ119" i="1" s="1"/>
  <c r="AS119" i="1" s="1"/>
  <c r="AV119" i="1"/>
  <c r="AU119" i="1" s="1"/>
  <c r="BB119" i="1"/>
  <c r="BA119" i="1" s="1"/>
  <c r="E120" i="1"/>
  <c r="D120" i="1" s="1"/>
  <c r="G120" i="1"/>
  <c r="F120" i="1" s="1"/>
  <c r="I120" i="1"/>
  <c r="K120" i="1" s="1"/>
  <c r="R120" i="1"/>
  <c r="Q120" i="1" s="1"/>
  <c r="V120" i="1"/>
  <c r="AF120" i="1"/>
  <c r="AE120" i="1" s="1"/>
  <c r="AH120" i="1" s="1"/>
  <c r="AO120" i="1"/>
  <c r="AN120" i="1" s="1"/>
  <c r="AP120" i="1" s="1"/>
  <c r="AR120" i="1"/>
  <c r="AV120" i="1"/>
  <c r="AU120" i="1" s="1"/>
  <c r="BB120" i="1"/>
  <c r="BA120" i="1" s="1"/>
  <c r="P84" i="1" l="1"/>
  <c r="J84" i="1"/>
  <c r="M102" i="1"/>
  <c r="K57" i="1"/>
  <c r="M106" i="1"/>
  <c r="X113" i="1"/>
  <c r="W113" i="1" s="1"/>
  <c r="Y113" i="1" s="1"/>
  <c r="X106" i="1"/>
  <c r="AC106" i="1" s="1"/>
  <c r="M119" i="1"/>
  <c r="N94" i="1"/>
  <c r="AQ61" i="1"/>
  <c r="AS61" i="1" s="1"/>
  <c r="P106" i="1"/>
  <c r="L106" i="1"/>
  <c r="H106" i="1"/>
  <c r="O106" i="1"/>
  <c r="K106" i="1"/>
  <c r="AT46" i="1"/>
  <c r="N106" i="1"/>
  <c r="AG106" i="1"/>
  <c r="AI106" i="1"/>
  <c r="AH106" i="1"/>
  <c r="S106" i="1"/>
  <c r="T106" i="1"/>
  <c r="O60" i="1"/>
  <c r="H94" i="1"/>
  <c r="N84" i="1"/>
  <c r="H84" i="1"/>
  <c r="M60" i="1"/>
  <c r="P46" i="1"/>
  <c r="BA106" i="1"/>
  <c r="AQ106" i="1"/>
  <c r="AS106" i="1" s="1"/>
  <c r="M120" i="1"/>
  <c r="AC92" i="1"/>
  <c r="M84" i="1"/>
  <c r="T60" i="1"/>
  <c r="J60" i="1"/>
  <c r="J112" i="1"/>
  <c r="N120" i="1"/>
  <c r="N60" i="1"/>
  <c r="M57" i="1"/>
  <c r="AT47" i="1"/>
  <c r="AQ109" i="1"/>
  <c r="AS109" i="1" s="1"/>
  <c r="AA92" i="1"/>
  <c r="N75" i="1"/>
  <c r="H66" i="1"/>
  <c r="AT60" i="1"/>
  <c r="S57" i="1"/>
  <c r="X55" i="1"/>
  <c r="AC55" i="1" s="1"/>
  <c r="U47" i="1"/>
  <c r="M75" i="1"/>
  <c r="N72" i="1"/>
  <c r="N66" i="1"/>
  <c r="AT119" i="1"/>
  <c r="AC109" i="1"/>
  <c r="O102" i="1"/>
  <c r="AT94" i="1"/>
  <c r="U92" i="1"/>
  <c r="L84" i="1"/>
  <c r="AQ79" i="1"/>
  <c r="AS79" i="1" s="1"/>
  <c r="X72" i="1"/>
  <c r="AD72" i="1" s="1"/>
  <c r="M72" i="1"/>
  <c r="X67" i="1"/>
  <c r="AA67" i="1" s="1"/>
  <c r="X66" i="1"/>
  <c r="AA66" i="1" s="1"/>
  <c r="K60" i="1"/>
  <c r="X57" i="1"/>
  <c r="AC57" i="1" s="1"/>
  <c r="T74" i="1"/>
  <c r="S74" i="1"/>
  <c r="J117" i="1"/>
  <c r="N117" i="1"/>
  <c r="K117" i="1"/>
  <c r="O117" i="1"/>
  <c r="J116" i="1"/>
  <c r="N116" i="1"/>
  <c r="K116" i="1"/>
  <c r="O116" i="1"/>
  <c r="J108" i="1"/>
  <c r="N108" i="1"/>
  <c r="K108" i="1"/>
  <c r="O108" i="1"/>
  <c r="Z102" i="1"/>
  <c r="W102" i="1"/>
  <c r="Y102" i="1" s="1"/>
  <c r="AC102" i="1"/>
  <c r="AQ89" i="1"/>
  <c r="AS89" i="1" s="1"/>
  <c r="AT89" i="1"/>
  <c r="K67" i="1"/>
  <c r="L67" i="1"/>
  <c r="O67" i="1"/>
  <c r="U61" i="1"/>
  <c r="U60" i="1"/>
  <c r="X60" i="1"/>
  <c r="W60" i="1" s="1"/>
  <c r="Y60" i="1" s="1"/>
  <c r="K55" i="1"/>
  <c r="J55" i="1"/>
  <c r="P55" i="1"/>
  <c r="L55" i="1"/>
  <c r="AT44" i="1"/>
  <c r="AQ44" i="1"/>
  <c r="AS44" i="1" s="1"/>
  <c r="H44" i="1"/>
  <c r="K44" i="1"/>
  <c r="O44" i="1"/>
  <c r="M44" i="1"/>
  <c r="K89" i="1"/>
  <c r="O89" i="1"/>
  <c r="H89" i="1"/>
  <c r="L89" i="1"/>
  <c r="P89" i="1"/>
  <c r="AH47" i="1"/>
  <c r="AG47" i="1"/>
  <c r="AI47" i="1"/>
  <c r="T44" i="1"/>
  <c r="S44" i="1"/>
  <c r="H119" i="1"/>
  <c r="J119" i="1"/>
  <c r="O119" i="1"/>
  <c r="K119" i="1"/>
  <c r="P117" i="1"/>
  <c r="H117" i="1"/>
  <c r="P116" i="1"/>
  <c r="H116" i="1"/>
  <c r="L112" i="1"/>
  <c r="N112" i="1"/>
  <c r="P108" i="1"/>
  <c r="H108" i="1"/>
  <c r="AQ102" i="1"/>
  <c r="AS102" i="1" s="1"/>
  <c r="U102" i="1"/>
  <c r="K94" i="1"/>
  <c r="J94" i="1"/>
  <c r="P94" i="1"/>
  <c r="L94" i="1"/>
  <c r="AT92" i="1"/>
  <c r="M89" i="1"/>
  <c r="U84" i="1"/>
  <c r="X84" i="1"/>
  <c r="AB84" i="1" s="1"/>
  <c r="X79" i="1"/>
  <c r="AC79" i="1" s="1"/>
  <c r="U79" i="1"/>
  <c r="K75" i="1"/>
  <c r="O75" i="1"/>
  <c r="H75" i="1"/>
  <c r="L75" i="1"/>
  <c r="P75" i="1"/>
  <c r="AQ72" i="1"/>
  <c r="AS72" i="1" s="1"/>
  <c r="S72" i="1"/>
  <c r="K66" i="1"/>
  <c r="J66" i="1"/>
  <c r="P66" i="1"/>
  <c r="L66" i="1"/>
  <c r="H55" i="1"/>
  <c r="X44" i="1"/>
  <c r="W44" i="1" s="1"/>
  <c r="Y44" i="1" s="1"/>
  <c r="U44" i="1"/>
  <c r="BA66" i="1"/>
  <c r="E66" i="1"/>
  <c r="D66" i="1" s="1"/>
  <c r="AQ120" i="1"/>
  <c r="AS120" i="1" s="1"/>
  <c r="AT120" i="1"/>
  <c r="M117" i="1"/>
  <c r="M116" i="1"/>
  <c r="AB109" i="1"/>
  <c r="W109" i="1"/>
  <c r="Y109" i="1" s="1"/>
  <c r="AD109" i="1"/>
  <c r="M108" i="1"/>
  <c r="AB102" i="1"/>
  <c r="M92" i="1"/>
  <c r="O92" i="1"/>
  <c r="J89" i="1"/>
  <c r="AI79" i="1"/>
  <c r="AQ75" i="1"/>
  <c r="AS75" i="1" s="1"/>
  <c r="AT75" i="1"/>
  <c r="AT74" i="1"/>
  <c r="AQ74" i="1"/>
  <c r="AS74" i="1" s="1"/>
  <c r="X74" i="1"/>
  <c r="U74" i="1"/>
  <c r="H74" i="1"/>
  <c r="M74" i="1"/>
  <c r="O74" i="1"/>
  <c r="K72" i="1"/>
  <c r="O72" i="1"/>
  <c r="H72" i="1"/>
  <c r="L72" i="1"/>
  <c r="P72" i="1"/>
  <c r="AQ66" i="1"/>
  <c r="AS66" i="1" s="1"/>
  <c r="AT66" i="1"/>
  <c r="N55" i="1"/>
  <c r="J46" i="1"/>
  <c r="N46" i="1"/>
  <c r="H46" i="1"/>
  <c r="K46" i="1"/>
  <c r="O46" i="1"/>
  <c r="L46" i="1"/>
  <c r="J120" i="1"/>
  <c r="X117" i="1"/>
  <c r="AB117" i="1" s="1"/>
  <c r="AT112" i="1"/>
  <c r="AT108" i="1"/>
  <c r="P60" i="1"/>
  <c r="L60" i="1"/>
  <c r="AQ57" i="1"/>
  <c r="AS57" i="1" s="1"/>
  <c r="O57" i="1"/>
  <c r="AI109" i="1"/>
  <c r="S92" i="1"/>
  <c r="AG79" i="1"/>
  <c r="T55" i="1"/>
  <c r="T116" i="1"/>
  <c r="AG109" i="1"/>
  <c r="S119" i="1"/>
  <c r="T108" i="1"/>
  <c r="T66" i="1"/>
  <c r="AG112" i="1"/>
  <c r="S109" i="1"/>
  <c r="AI92" i="1"/>
  <c r="S102" i="1"/>
  <c r="AG92" i="1"/>
  <c r="AI61" i="1"/>
  <c r="T117" i="1"/>
  <c r="S113" i="1"/>
  <c r="T94" i="1"/>
  <c r="T89" i="1"/>
  <c r="J113" i="1"/>
  <c r="N113" i="1"/>
  <c r="K113" i="1"/>
  <c r="P113" i="1"/>
  <c r="L113" i="1"/>
  <c r="H113" i="1"/>
  <c r="M113" i="1"/>
  <c r="AT84" i="1"/>
  <c r="AQ84" i="1"/>
  <c r="AS84" i="1" s="1"/>
  <c r="AI75" i="1"/>
  <c r="AG75" i="1"/>
  <c r="AH75" i="1"/>
  <c r="AI120" i="1"/>
  <c r="AG120" i="1"/>
  <c r="S120" i="1"/>
  <c r="T120" i="1"/>
  <c r="AB119" i="1"/>
  <c r="AC119" i="1"/>
  <c r="Z119" i="1"/>
  <c r="AD119" i="1"/>
  <c r="AG117" i="1"/>
  <c r="AH117" i="1"/>
  <c r="AI117" i="1"/>
  <c r="AG116" i="1"/>
  <c r="AH116" i="1"/>
  <c r="AI116" i="1"/>
  <c r="U94" i="1"/>
  <c r="X94" i="1"/>
  <c r="J79" i="1"/>
  <c r="N79" i="1"/>
  <c r="K79" i="1"/>
  <c r="O79" i="1"/>
  <c r="H79" i="1"/>
  <c r="L79" i="1"/>
  <c r="P79" i="1"/>
  <c r="M79" i="1"/>
  <c r="AG72" i="1"/>
  <c r="AH72" i="1"/>
  <c r="AI72" i="1"/>
  <c r="AH67" i="1"/>
  <c r="AG67" i="1"/>
  <c r="AI67" i="1"/>
  <c r="T61" i="1"/>
  <c r="S61" i="1"/>
  <c r="AI60" i="1"/>
  <c r="AG60" i="1"/>
  <c r="AH60" i="1"/>
  <c r="X120" i="1"/>
  <c r="U120" i="1"/>
  <c r="AH113" i="1"/>
  <c r="AI113" i="1"/>
  <c r="S112" i="1"/>
  <c r="T112" i="1"/>
  <c r="AG108" i="1"/>
  <c r="AI108" i="1"/>
  <c r="AG119" i="1"/>
  <c r="AH119" i="1"/>
  <c r="X112" i="1"/>
  <c r="U112" i="1"/>
  <c r="U89" i="1"/>
  <c r="X89" i="1"/>
  <c r="S75" i="1"/>
  <c r="T75" i="1"/>
  <c r="AA119" i="1"/>
  <c r="AT117" i="1"/>
  <c r="AQ117" i="1"/>
  <c r="AS117" i="1" s="1"/>
  <c r="U116" i="1"/>
  <c r="X116" i="1"/>
  <c r="AT113" i="1"/>
  <c r="AQ113" i="1"/>
  <c r="AS113" i="1" s="1"/>
  <c r="AG113" i="1"/>
  <c r="O113" i="1"/>
  <c r="H109" i="1"/>
  <c r="L109" i="1"/>
  <c r="P109" i="1"/>
  <c r="J109" i="1"/>
  <c r="O109" i="1"/>
  <c r="K109" i="1"/>
  <c r="M109" i="1"/>
  <c r="AH108" i="1"/>
  <c r="AH102" i="1"/>
  <c r="AG102" i="1"/>
  <c r="AI102" i="1"/>
  <c r="S84" i="1"/>
  <c r="T84" i="1"/>
  <c r="AG66" i="1"/>
  <c r="AI66" i="1"/>
  <c r="AH66" i="1"/>
  <c r="Z61" i="1"/>
  <c r="AD61" i="1"/>
  <c r="AB61" i="1"/>
  <c r="W61" i="1"/>
  <c r="Y61" i="1" s="1"/>
  <c r="AA61" i="1"/>
  <c r="J61" i="1"/>
  <c r="N61" i="1"/>
  <c r="H61" i="1"/>
  <c r="L61" i="1"/>
  <c r="P61" i="1"/>
  <c r="K61" i="1"/>
  <c r="M61" i="1"/>
  <c r="O61" i="1"/>
  <c r="P120" i="1"/>
  <c r="L120" i="1"/>
  <c r="H120" i="1"/>
  <c r="U119" i="1"/>
  <c r="AQ116" i="1"/>
  <c r="AS116" i="1" s="1"/>
  <c r="K112" i="1"/>
  <c r="O112" i="1"/>
  <c r="S79" i="1"/>
  <c r="T79" i="1"/>
  <c r="S67" i="1"/>
  <c r="T67" i="1"/>
  <c r="O120" i="1"/>
  <c r="P119" i="1"/>
  <c r="L119" i="1"/>
  <c r="AH112" i="1"/>
  <c r="M112" i="1"/>
  <c r="H112" i="1"/>
  <c r="Z109" i="1"/>
  <c r="U109" i="1"/>
  <c r="X108" i="1"/>
  <c r="H102" i="1"/>
  <c r="L102" i="1"/>
  <c r="P102" i="1"/>
  <c r="J102" i="1"/>
  <c r="N102" i="1"/>
  <c r="AG94" i="1"/>
  <c r="AI94" i="1"/>
  <c r="Z92" i="1"/>
  <c r="AD92" i="1"/>
  <c r="AB92" i="1"/>
  <c r="J92" i="1"/>
  <c r="N92" i="1"/>
  <c r="H92" i="1"/>
  <c r="L92" i="1"/>
  <c r="P92" i="1"/>
  <c r="AI89" i="1"/>
  <c r="AG89" i="1"/>
  <c r="AG84" i="1"/>
  <c r="AH84" i="1"/>
  <c r="AI84" i="1"/>
  <c r="X75" i="1"/>
  <c r="U75" i="1"/>
  <c r="AG74" i="1"/>
  <c r="AH74" i="1"/>
  <c r="AD102" i="1"/>
  <c r="O94" i="1"/>
  <c r="O84" i="1"/>
  <c r="N74" i="1"/>
  <c r="J74" i="1"/>
  <c r="P67" i="1"/>
  <c r="AG61" i="1"/>
  <c r="S47" i="1"/>
  <c r="T47" i="1"/>
  <c r="J67" i="1"/>
  <c r="N67" i="1"/>
  <c r="AG55" i="1"/>
  <c r="AH55" i="1"/>
  <c r="AI55" i="1"/>
  <c r="Z47" i="1"/>
  <c r="AD47" i="1"/>
  <c r="W47" i="1"/>
  <c r="Y47" i="1" s="1"/>
  <c r="AA47" i="1"/>
  <c r="AB47" i="1"/>
  <c r="X46" i="1"/>
  <c r="U46" i="1"/>
  <c r="AG44" i="1"/>
  <c r="AH44" i="1"/>
  <c r="P74" i="1"/>
  <c r="L74" i="1"/>
  <c r="AQ67" i="1"/>
  <c r="AS67" i="1" s="1"/>
  <c r="M67" i="1"/>
  <c r="H67" i="1"/>
  <c r="AG57" i="1"/>
  <c r="AH57" i="1"/>
  <c r="AT55" i="1"/>
  <c r="AQ55" i="1"/>
  <c r="AS55" i="1" s="1"/>
  <c r="J47" i="1"/>
  <c r="N47" i="1"/>
  <c r="K47" i="1"/>
  <c r="O47" i="1"/>
  <c r="H47" i="1"/>
  <c r="L47" i="1"/>
  <c r="P47" i="1"/>
  <c r="AI46" i="1"/>
  <c r="AG46" i="1"/>
  <c r="S46" i="1"/>
  <c r="T46" i="1"/>
  <c r="O66" i="1"/>
  <c r="N57" i="1"/>
  <c r="J57" i="1"/>
  <c r="O55" i="1"/>
  <c r="N44" i="1"/>
  <c r="J44" i="1"/>
  <c r="P57" i="1"/>
  <c r="L57" i="1"/>
  <c r="P44" i="1"/>
  <c r="L44" i="1"/>
  <c r="AC67" i="1" l="1"/>
  <c r="Z117" i="1"/>
  <c r="AD66" i="1"/>
  <c r="AC60" i="1"/>
  <c r="Z79" i="1"/>
  <c r="AC66" i="1"/>
  <c r="AB113" i="1"/>
  <c r="Z106" i="1"/>
  <c r="AB106" i="1"/>
  <c r="W106" i="1"/>
  <c r="Y106" i="1" s="1"/>
  <c r="AD44" i="1"/>
  <c r="AD106" i="1"/>
  <c r="AA79" i="1"/>
  <c r="AA106" i="1"/>
  <c r="AD113" i="1"/>
  <c r="AA60" i="1"/>
  <c r="Z113" i="1"/>
  <c r="AC113" i="1"/>
  <c r="Z67" i="1"/>
  <c r="AD60" i="1"/>
  <c r="AA113" i="1"/>
  <c r="W84" i="1"/>
  <c r="Y84" i="1" s="1"/>
  <c r="AD84" i="1"/>
  <c r="AB57" i="1"/>
  <c r="Z44" i="1"/>
  <c r="Z84" i="1"/>
  <c r="W55" i="1"/>
  <c r="Y55" i="1" s="1"/>
  <c r="AB60" i="1"/>
  <c r="AD67" i="1"/>
  <c r="AB79" i="1"/>
  <c r="W66" i="1"/>
  <c r="Y66" i="1" s="1"/>
  <c r="AB72" i="1"/>
  <c r="Z60" i="1"/>
  <c r="AA84" i="1"/>
  <c r="AC84" i="1"/>
  <c r="AD117" i="1"/>
  <c r="AB67" i="1"/>
  <c r="W67" i="1"/>
  <c r="Y67" i="1" s="1"/>
  <c r="AB66" i="1"/>
  <c r="AD55" i="1"/>
  <c r="W72" i="1"/>
  <c r="Y72" i="1" s="1"/>
  <c r="Z66" i="1"/>
  <c r="AC72" i="1"/>
  <c r="AA117" i="1"/>
  <c r="AC117" i="1"/>
  <c r="W117" i="1"/>
  <c r="Y117" i="1" s="1"/>
  <c r="AD57" i="1"/>
  <c r="AC44" i="1"/>
  <c r="AB55" i="1"/>
  <c r="Z55" i="1"/>
  <c r="W79" i="1"/>
  <c r="Y79" i="1" s="1"/>
  <c r="AA72" i="1"/>
  <c r="Z57" i="1"/>
  <c r="AA57" i="1"/>
  <c r="AA44" i="1"/>
  <c r="AB44" i="1"/>
  <c r="AA55" i="1"/>
  <c r="AD79" i="1"/>
  <c r="Z72" i="1"/>
  <c r="W57" i="1"/>
  <c r="Y57" i="1" s="1"/>
  <c r="Z74" i="1"/>
  <c r="AA74" i="1"/>
  <c r="W74" i="1"/>
  <c r="Y74" i="1" s="1"/>
  <c r="AC74" i="1"/>
  <c r="AB74" i="1"/>
  <c r="AD74" i="1"/>
  <c r="W46" i="1"/>
  <c r="Y46" i="1" s="1"/>
  <c r="AA46" i="1"/>
  <c r="AB46" i="1"/>
  <c r="AC46" i="1"/>
  <c r="Z46" i="1"/>
  <c r="AD46" i="1"/>
  <c r="AC116" i="1"/>
  <c r="W116" i="1"/>
  <c r="Y116" i="1" s="1"/>
  <c r="AB116" i="1"/>
  <c r="AD116" i="1"/>
  <c r="Z116" i="1"/>
  <c r="AA116" i="1"/>
  <c r="W120" i="1"/>
  <c r="Y120" i="1" s="1"/>
  <c r="AA120" i="1"/>
  <c r="AB120" i="1"/>
  <c r="AC120" i="1"/>
  <c r="Z120" i="1"/>
  <c r="AD120" i="1"/>
  <c r="W75" i="1"/>
  <c r="Y75" i="1" s="1"/>
  <c r="AA75" i="1"/>
  <c r="AB75" i="1"/>
  <c r="AC75" i="1"/>
  <c r="Z75" i="1"/>
  <c r="AD75" i="1"/>
  <c r="AC108" i="1"/>
  <c r="AD108" i="1"/>
  <c r="Z108" i="1"/>
  <c r="AA108" i="1"/>
  <c r="W108" i="1"/>
  <c r="Y108" i="1" s="1"/>
  <c r="AB108" i="1"/>
  <c r="W112" i="1"/>
  <c r="Y112" i="1" s="1"/>
  <c r="AA112" i="1"/>
  <c r="AC112" i="1"/>
  <c r="AD112" i="1"/>
  <c r="Z112" i="1"/>
  <c r="AB112" i="1"/>
  <c r="W89" i="1"/>
  <c r="Y89" i="1" s="1"/>
  <c r="AA89" i="1"/>
  <c r="AC89" i="1"/>
  <c r="Z89" i="1"/>
  <c r="AB89" i="1"/>
  <c r="AD89" i="1"/>
  <c r="AC94" i="1"/>
  <c r="W94" i="1"/>
  <c r="Y94" i="1" s="1"/>
  <c r="AA94" i="1"/>
  <c r="Z94" i="1"/>
  <c r="AB94" i="1"/>
  <c r="AD94" i="1"/>
  <c r="E29" i="1" l="1"/>
  <c r="D29" i="1" s="1"/>
  <c r="G29" i="1"/>
  <c r="I29" i="1"/>
  <c r="R29" i="1"/>
  <c r="S29" i="1"/>
  <c r="T29" i="1"/>
  <c r="V29" i="1"/>
  <c r="X29" i="1"/>
  <c r="Y29" i="1"/>
  <c r="Z29" i="1"/>
  <c r="AA29" i="1"/>
  <c r="AB29" i="1"/>
  <c r="AC29" i="1"/>
  <c r="AD29" i="1"/>
  <c r="AF29" i="1"/>
  <c r="AG29" i="1"/>
  <c r="AH29" i="1"/>
  <c r="AI29" i="1"/>
  <c r="AK29" i="1"/>
  <c r="AM29" i="1"/>
  <c r="AP29" i="1"/>
  <c r="AR29" i="1"/>
  <c r="AS29" i="1"/>
  <c r="AT29" i="1"/>
  <c r="AV29" i="1"/>
  <c r="AZ29" i="1"/>
  <c r="BB29" i="1"/>
  <c r="M29" i="1" l="1"/>
  <c r="J29" i="1"/>
  <c r="N29" i="1"/>
  <c r="L29" i="1"/>
  <c r="K29" i="1"/>
  <c r="O29" i="1"/>
  <c r="P29" i="1"/>
  <c r="AZ106" i="1" l="1"/>
  <c r="AY106" i="1" s="1"/>
  <c r="AM106" i="1"/>
  <c r="AL106" i="1" s="1"/>
  <c r="AK106" i="1"/>
  <c r="AJ106" i="1" s="1"/>
  <c r="AK55" i="1" l="1"/>
  <c r="AJ55" i="1" s="1"/>
  <c r="AK61" i="1"/>
  <c r="AJ61" i="1" s="1"/>
  <c r="AK66" i="1"/>
  <c r="AJ66" i="1" s="1"/>
  <c r="AK75" i="1"/>
  <c r="AJ75" i="1" s="1"/>
  <c r="AK84" i="1"/>
  <c r="AJ84" i="1" s="1"/>
  <c r="AK60" i="1"/>
  <c r="AJ60" i="1" s="1"/>
  <c r="AK117" i="1"/>
  <c r="AJ117" i="1" s="1"/>
  <c r="AK44" i="1"/>
  <c r="AJ44" i="1" s="1"/>
  <c r="AK67" i="1"/>
  <c r="AJ67" i="1" s="1"/>
  <c r="AK79" i="1"/>
  <c r="AJ79" i="1" s="1"/>
  <c r="AK89" i="1"/>
  <c r="AJ89" i="1" s="1"/>
  <c r="AK94" i="1"/>
  <c r="AJ94" i="1" s="1"/>
  <c r="AK108" i="1"/>
  <c r="AJ108" i="1" s="1"/>
  <c r="AK113" i="1"/>
  <c r="AJ113" i="1" s="1"/>
  <c r="AK119" i="1"/>
  <c r="AJ119" i="1" s="1"/>
  <c r="AK47" i="1"/>
  <c r="AJ47" i="1" s="1"/>
  <c r="AK74" i="1"/>
  <c r="AJ74" i="1" s="1"/>
  <c r="AK102" i="1"/>
  <c r="AJ102" i="1" s="1"/>
  <c r="AK112" i="1"/>
  <c r="AJ112" i="1" s="1"/>
  <c r="AK46" i="1"/>
  <c r="AJ46" i="1" s="1"/>
  <c r="AK57" i="1"/>
  <c r="AJ57" i="1" s="1"/>
  <c r="AK72" i="1"/>
  <c r="AJ72" i="1" s="1"/>
  <c r="AK92" i="1"/>
  <c r="AJ92" i="1" s="1"/>
  <c r="AK109" i="1"/>
  <c r="AJ109" i="1" s="1"/>
  <c r="AK116" i="1"/>
  <c r="AJ116" i="1" s="1"/>
  <c r="AK120" i="1"/>
  <c r="AJ120" i="1" s="1"/>
  <c r="AM47" i="1"/>
  <c r="AL47" i="1" s="1"/>
  <c r="AM60" i="1"/>
  <c r="AL60" i="1" s="1"/>
  <c r="AM74" i="1"/>
  <c r="AL74" i="1" s="1"/>
  <c r="AM102" i="1"/>
  <c r="AL102" i="1" s="1"/>
  <c r="AM112" i="1"/>
  <c r="AL112" i="1" s="1"/>
  <c r="AM117" i="1"/>
  <c r="AL117" i="1" s="1"/>
  <c r="AM57" i="1"/>
  <c r="AL57" i="1" s="1"/>
  <c r="AM92" i="1"/>
  <c r="AL92" i="1" s="1"/>
  <c r="AM55" i="1"/>
  <c r="AL55" i="1" s="1"/>
  <c r="AM61" i="1"/>
  <c r="AL61" i="1" s="1"/>
  <c r="AM66" i="1"/>
  <c r="AL66" i="1" s="1"/>
  <c r="AM75" i="1"/>
  <c r="AL75" i="1" s="1"/>
  <c r="AM84" i="1"/>
  <c r="AL84" i="1" s="1"/>
  <c r="AM46" i="1"/>
  <c r="AL46" i="1" s="1"/>
  <c r="AM116" i="1"/>
  <c r="AL116" i="1" s="1"/>
  <c r="AM44" i="1"/>
  <c r="AL44" i="1" s="1"/>
  <c r="AM67" i="1"/>
  <c r="AL67" i="1" s="1"/>
  <c r="AM79" i="1"/>
  <c r="AL79" i="1" s="1"/>
  <c r="AM89" i="1"/>
  <c r="AL89" i="1" s="1"/>
  <c r="AM94" i="1"/>
  <c r="AL94" i="1" s="1"/>
  <c r="AM108" i="1"/>
  <c r="AL108" i="1" s="1"/>
  <c r="AM113" i="1"/>
  <c r="AL113" i="1" s="1"/>
  <c r="AM119" i="1"/>
  <c r="AL119" i="1" s="1"/>
  <c r="AM72" i="1"/>
  <c r="AL72" i="1" s="1"/>
  <c r="AM109" i="1"/>
  <c r="AL109" i="1" s="1"/>
  <c r="AM120" i="1"/>
  <c r="AL120" i="1" s="1"/>
  <c r="AZ47" i="1"/>
  <c r="AY47" i="1" s="1"/>
  <c r="AZ60" i="1"/>
  <c r="AY60" i="1" s="1"/>
  <c r="AZ74" i="1"/>
  <c r="AY74" i="1" s="1"/>
  <c r="AZ92" i="1"/>
  <c r="AY92" i="1" s="1"/>
  <c r="AZ102" i="1"/>
  <c r="AY102" i="1" s="1"/>
  <c r="AZ112" i="1"/>
  <c r="AY112" i="1" s="1"/>
  <c r="AZ117" i="1"/>
  <c r="AY117" i="1" s="1"/>
  <c r="AZ57" i="1"/>
  <c r="AY57" i="1" s="1"/>
  <c r="AZ120" i="1"/>
  <c r="AY120" i="1" s="1"/>
  <c r="AZ55" i="1"/>
  <c r="AY55" i="1" s="1"/>
  <c r="AZ61" i="1"/>
  <c r="AY61" i="1" s="1"/>
  <c r="AZ66" i="1"/>
  <c r="AY66" i="1" s="1"/>
  <c r="AZ75" i="1"/>
  <c r="AY75" i="1" s="1"/>
  <c r="AZ84" i="1"/>
  <c r="AY84" i="1" s="1"/>
  <c r="AZ46" i="1"/>
  <c r="AY46" i="1" s="1"/>
  <c r="AZ109" i="1"/>
  <c r="AY109" i="1" s="1"/>
  <c r="AZ44" i="1"/>
  <c r="AY44" i="1" s="1"/>
  <c r="AZ67" i="1"/>
  <c r="AY67" i="1" s="1"/>
  <c r="AZ79" i="1"/>
  <c r="AY79" i="1" s="1"/>
  <c r="AZ89" i="1"/>
  <c r="AY89" i="1" s="1"/>
  <c r="AZ94" i="1"/>
  <c r="AY94" i="1" s="1"/>
  <c r="AZ108" i="1"/>
  <c r="AY108" i="1" s="1"/>
  <c r="AZ113" i="1"/>
  <c r="AY113" i="1" s="1"/>
  <c r="AZ119" i="1"/>
  <c r="AY119" i="1" s="1"/>
  <c r="AZ72" i="1"/>
  <c r="AY72" i="1" s="1"/>
  <c r="AZ116" i="1"/>
  <c r="AY116" i="1" s="1"/>
  <c r="X52" i="1" l="1"/>
  <c r="X53" i="1"/>
  <c r="X54" i="1"/>
  <c r="X51" i="1"/>
  <c r="X50" i="1"/>
  <c r="X49" i="1"/>
  <c r="X48" i="1"/>
  <c r="V49" i="1"/>
  <c r="U49" i="1" s="1"/>
  <c r="V50" i="1"/>
  <c r="U50" i="1" s="1"/>
  <c r="V51" i="1"/>
  <c r="U51" i="1" s="1"/>
  <c r="V52" i="1"/>
  <c r="U52" i="1" s="1"/>
  <c r="V53" i="1"/>
  <c r="U53" i="1" s="1"/>
  <c r="V54" i="1"/>
  <c r="U54" i="1" s="1"/>
  <c r="V48" i="1"/>
  <c r="U48" i="1" s="1"/>
  <c r="BB19" i="1" l="1"/>
  <c r="K21" i="1" l="1"/>
  <c r="L21" i="1"/>
  <c r="K22" i="1"/>
  <c r="L22" i="1"/>
  <c r="K31" i="1"/>
  <c r="L31" i="1"/>
  <c r="K32" i="1"/>
  <c r="L32" i="1"/>
  <c r="K33" i="1"/>
  <c r="L33" i="1"/>
  <c r="K34" i="1"/>
  <c r="L34" i="1"/>
  <c r="K35" i="1"/>
  <c r="L35" i="1"/>
  <c r="K36" i="1"/>
  <c r="L36" i="1"/>
  <c r="J21" i="1"/>
  <c r="J22" i="1"/>
  <c r="J31" i="1"/>
  <c r="J32" i="1"/>
  <c r="J33" i="1"/>
  <c r="J34" i="1"/>
  <c r="J35" i="1"/>
  <c r="J36" i="1"/>
  <c r="AK30" i="1" l="1"/>
  <c r="G125" i="1" l="1"/>
  <c r="F125" i="1" s="1"/>
  <c r="G124" i="1"/>
  <c r="F124" i="1" s="1"/>
  <c r="G104" i="1"/>
  <c r="F104" i="1" s="1"/>
  <c r="G105" i="1"/>
  <c r="F105" i="1" s="1"/>
  <c r="G107" i="1"/>
  <c r="F107" i="1" s="1"/>
  <c r="G103" i="1"/>
  <c r="F103" i="1" s="1"/>
  <c r="F43" i="1"/>
  <c r="G48" i="1"/>
  <c r="F48" i="1" s="1"/>
  <c r="G49" i="1"/>
  <c r="F49" i="1" s="1"/>
  <c r="G50" i="1"/>
  <c r="F50" i="1" s="1"/>
  <c r="G51" i="1"/>
  <c r="F51" i="1" s="1"/>
  <c r="G52" i="1"/>
  <c r="F52" i="1" s="1"/>
  <c r="G53" i="1"/>
  <c r="F53" i="1" s="1"/>
  <c r="G54" i="1"/>
  <c r="F54" i="1" s="1"/>
  <c r="G56" i="1"/>
  <c r="F56" i="1" s="1"/>
  <c r="G62" i="1"/>
  <c r="F62" i="1" s="1"/>
  <c r="G64" i="1"/>
  <c r="F64" i="1" s="1"/>
  <c r="G70" i="1"/>
  <c r="F70" i="1" s="1"/>
  <c r="G86" i="1"/>
  <c r="F86" i="1" s="1"/>
  <c r="G88" i="1"/>
  <c r="F88" i="1" s="1"/>
  <c r="G91" i="1"/>
  <c r="F91" i="1" s="1"/>
  <c r="G93" i="1"/>
  <c r="F93" i="1" s="1"/>
  <c r="F42" i="1"/>
  <c r="G12" i="1"/>
  <c r="G13" i="1"/>
  <c r="G14" i="1"/>
  <c r="G15" i="1"/>
  <c r="G16" i="1"/>
  <c r="G18" i="1"/>
  <c r="G19" i="1"/>
  <c r="G20" i="1"/>
  <c r="G23" i="1"/>
  <c r="G24" i="1"/>
  <c r="G25" i="1"/>
  <c r="G26" i="1"/>
  <c r="G27" i="1"/>
  <c r="G28" i="1"/>
  <c r="G30" i="1"/>
  <c r="G11" i="1"/>
  <c r="E125" i="1" l="1"/>
  <c r="D125" i="1" s="1"/>
  <c r="I125" i="1"/>
  <c r="R125" i="1"/>
  <c r="Q125" i="1" s="1"/>
  <c r="T125" i="1" s="1"/>
  <c r="V125" i="1"/>
  <c r="X125" i="1" s="1"/>
  <c r="AF125" i="1"/>
  <c r="AE125" i="1" s="1"/>
  <c r="AH125" i="1" s="1"/>
  <c r="AK125" i="1"/>
  <c r="AJ125" i="1" s="1"/>
  <c r="AM125" i="1"/>
  <c r="AL125" i="1" s="1"/>
  <c r="AO125" i="1"/>
  <c r="AN125" i="1" s="1"/>
  <c r="AP125" i="1" s="1"/>
  <c r="AR125" i="1"/>
  <c r="AT125" i="1" s="1"/>
  <c r="AV125" i="1"/>
  <c r="AU125" i="1" s="1"/>
  <c r="AZ125" i="1"/>
  <c r="AY125" i="1" s="1"/>
  <c r="BB125" i="1"/>
  <c r="BA125" i="1" s="1"/>
  <c r="BB124" i="1"/>
  <c r="BA124" i="1" s="1"/>
  <c r="AZ124" i="1"/>
  <c r="AY124" i="1" s="1"/>
  <c r="AV124" i="1"/>
  <c r="AU124" i="1" s="1"/>
  <c r="AR124" i="1"/>
  <c r="AQ124" i="1" s="1"/>
  <c r="AS124" i="1" s="1"/>
  <c r="AO124" i="1"/>
  <c r="AN124" i="1" s="1"/>
  <c r="AP124" i="1" s="1"/>
  <c r="AM124" i="1"/>
  <c r="AL124" i="1" s="1"/>
  <c r="AK124" i="1"/>
  <c r="AJ124" i="1" s="1"/>
  <c r="AF124" i="1"/>
  <c r="AE124" i="1" s="1"/>
  <c r="AI124" i="1" s="1"/>
  <c r="V124" i="1"/>
  <c r="X124" i="1" s="1"/>
  <c r="R124" i="1"/>
  <c r="Q124" i="1" s="1"/>
  <c r="T124" i="1" s="1"/>
  <c r="I124" i="1"/>
  <c r="E124" i="1"/>
  <c r="D124" i="1" s="1"/>
  <c r="I104" i="1"/>
  <c r="R104" i="1"/>
  <c r="Q104" i="1" s="1"/>
  <c r="V104" i="1"/>
  <c r="X104" i="1" s="1"/>
  <c r="AF104" i="1"/>
  <c r="AE104" i="1" s="1"/>
  <c r="AG104" i="1" s="1"/>
  <c r="AK104" i="1"/>
  <c r="AJ104" i="1" s="1"/>
  <c r="AM104" i="1"/>
  <c r="AL104" i="1" s="1"/>
  <c r="AO104" i="1"/>
  <c r="AN104" i="1" s="1"/>
  <c r="AP104" i="1" s="1"/>
  <c r="AR104" i="1"/>
  <c r="AT104" i="1" s="1"/>
  <c r="AV104" i="1"/>
  <c r="AU104" i="1" s="1"/>
  <c r="AZ104" i="1"/>
  <c r="AY104" i="1" s="1"/>
  <c r="BB104" i="1"/>
  <c r="BA104" i="1" s="1"/>
  <c r="I105" i="1"/>
  <c r="R105" i="1"/>
  <c r="Q105" i="1" s="1"/>
  <c r="S105" i="1" s="1"/>
  <c r="V105" i="1"/>
  <c r="X105" i="1" s="1"/>
  <c r="AF105" i="1"/>
  <c r="AE105" i="1" s="1"/>
  <c r="AH105" i="1" s="1"/>
  <c r="AK105" i="1"/>
  <c r="AJ105" i="1" s="1"/>
  <c r="AM105" i="1"/>
  <c r="AL105" i="1" s="1"/>
  <c r="AO105" i="1"/>
  <c r="AN105" i="1" s="1"/>
  <c r="AP105" i="1" s="1"/>
  <c r="AR105" i="1"/>
  <c r="AT105" i="1" s="1"/>
  <c r="AV105" i="1"/>
  <c r="AU105" i="1" s="1"/>
  <c r="AZ105" i="1"/>
  <c r="AY105" i="1" s="1"/>
  <c r="BB105" i="1"/>
  <c r="BA105" i="1" s="1"/>
  <c r="I107" i="1"/>
  <c r="R107" i="1"/>
  <c r="Q107" i="1" s="1"/>
  <c r="S107" i="1" s="1"/>
  <c r="V107" i="1"/>
  <c r="X107" i="1" s="1"/>
  <c r="AF107" i="1"/>
  <c r="AE107" i="1" s="1"/>
  <c r="AK107" i="1"/>
  <c r="AJ107" i="1" s="1"/>
  <c r="AM107" i="1"/>
  <c r="AL107" i="1" s="1"/>
  <c r="AO107" i="1"/>
  <c r="AN107" i="1" s="1"/>
  <c r="AP107" i="1" s="1"/>
  <c r="AR107" i="1"/>
  <c r="AT107" i="1" s="1"/>
  <c r="AV107" i="1"/>
  <c r="AU107" i="1" s="1"/>
  <c r="AZ107" i="1"/>
  <c r="AY107" i="1" s="1"/>
  <c r="BB107" i="1"/>
  <c r="BA107" i="1" s="1"/>
  <c r="BB103" i="1"/>
  <c r="AZ103" i="1"/>
  <c r="AV103" i="1"/>
  <c r="AR103" i="1"/>
  <c r="AQ103" i="1" s="1"/>
  <c r="AO103" i="1"/>
  <c r="AM103" i="1"/>
  <c r="AK103" i="1"/>
  <c r="AF103" i="1"/>
  <c r="V103" i="1"/>
  <c r="R103" i="1"/>
  <c r="I103" i="1"/>
  <c r="I43" i="1"/>
  <c r="R43" i="1"/>
  <c r="Q43" i="1" s="1"/>
  <c r="V43" i="1"/>
  <c r="U43" i="1" s="1"/>
  <c r="AF43" i="1"/>
  <c r="AE43" i="1" s="1"/>
  <c r="AG43" i="1" s="1"/>
  <c r="AK43" i="1"/>
  <c r="AJ43" i="1" s="1"/>
  <c r="AM43" i="1"/>
  <c r="AL43" i="1" s="1"/>
  <c r="AO43" i="1"/>
  <c r="AN43" i="1" s="1"/>
  <c r="AP43" i="1" s="1"/>
  <c r="AR43" i="1"/>
  <c r="AT43" i="1" s="1"/>
  <c r="AV43" i="1"/>
  <c r="AU43" i="1" s="1"/>
  <c r="AZ43" i="1"/>
  <c r="AY43" i="1" s="1"/>
  <c r="BB43" i="1"/>
  <c r="BA43" i="1" s="1"/>
  <c r="I48" i="1"/>
  <c r="R48" i="1"/>
  <c r="Q48" i="1" s="1"/>
  <c r="S48" i="1" s="1"/>
  <c r="AF48" i="1"/>
  <c r="AE48" i="1" s="1"/>
  <c r="AK48" i="1"/>
  <c r="AJ48" i="1" s="1"/>
  <c r="AM48" i="1"/>
  <c r="AL48" i="1" s="1"/>
  <c r="AO48" i="1"/>
  <c r="AN48" i="1" s="1"/>
  <c r="AP48" i="1" s="1"/>
  <c r="AR48" i="1"/>
  <c r="AQ48" i="1" s="1"/>
  <c r="AS48" i="1" s="1"/>
  <c r="AV48" i="1"/>
  <c r="AU48" i="1" s="1"/>
  <c r="AZ48" i="1"/>
  <c r="AY48" i="1" s="1"/>
  <c r="BB48" i="1"/>
  <c r="BA48" i="1" s="1"/>
  <c r="I49" i="1"/>
  <c r="R49" i="1"/>
  <c r="Q49" i="1" s="1"/>
  <c r="W49" i="1"/>
  <c r="Y49" i="1" s="1"/>
  <c r="AC49" i="1"/>
  <c r="AB49" i="1"/>
  <c r="AF49" i="1"/>
  <c r="AE49" i="1" s="1"/>
  <c r="AG49" i="1" s="1"/>
  <c r="AK49" i="1"/>
  <c r="AJ49" i="1" s="1"/>
  <c r="AM49" i="1"/>
  <c r="AL49" i="1" s="1"/>
  <c r="AO49" i="1"/>
  <c r="AN49" i="1" s="1"/>
  <c r="AP49" i="1" s="1"/>
  <c r="AR49" i="1"/>
  <c r="AT49" i="1" s="1"/>
  <c r="AV49" i="1"/>
  <c r="AU49" i="1" s="1"/>
  <c r="AZ49" i="1"/>
  <c r="AY49" i="1" s="1"/>
  <c r="BB49" i="1"/>
  <c r="BA49" i="1" s="1"/>
  <c r="I50" i="1"/>
  <c r="R50" i="1"/>
  <c r="Q50" i="1" s="1"/>
  <c r="S50" i="1" s="1"/>
  <c r="AF50" i="1"/>
  <c r="AE50" i="1" s="1"/>
  <c r="AK50" i="1"/>
  <c r="AJ50" i="1" s="1"/>
  <c r="AM50" i="1"/>
  <c r="AL50" i="1" s="1"/>
  <c r="AO50" i="1"/>
  <c r="AN50" i="1" s="1"/>
  <c r="AP50" i="1" s="1"/>
  <c r="AR50" i="1"/>
  <c r="AQ50" i="1" s="1"/>
  <c r="AS50" i="1" s="1"/>
  <c r="AV50" i="1"/>
  <c r="AU50" i="1" s="1"/>
  <c r="AZ50" i="1"/>
  <c r="AY50" i="1" s="1"/>
  <c r="BB50" i="1"/>
  <c r="BA50" i="1" s="1"/>
  <c r="I51" i="1"/>
  <c r="R51" i="1"/>
  <c r="Q51" i="1" s="1"/>
  <c r="T51" i="1" s="1"/>
  <c r="AC51" i="1"/>
  <c r="AA51" i="1"/>
  <c r="AF51" i="1"/>
  <c r="AE51" i="1" s="1"/>
  <c r="AI51" i="1" s="1"/>
  <c r="AK51" i="1"/>
  <c r="AJ51" i="1" s="1"/>
  <c r="AM51" i="1"/>
  <c r="AL51" i="1" s="1"/>
  <c r="AO51" i="1"/>
  <c r="AN51" i="1" s="1"/>
  <c r="AP51" i="1" s="1"/>
  <c r="AR51" i="1"/>
  <c r="AT51" i="1" s="1"/>
  <c r="AV51" i="1"/>
  <c r="AU51" i="1" s="1"/>
  <c r="AZ51" i="1"/>
  <c r="AY51" i="1" s="1"/>
  <c r="BB51" i="1"/>
  <c r="BA51" i="1" s="1"/>
  <c r="I52" i="1"/>
  <c r="R52" i="1"/>
  <c r="Q52" i="1" s="1"/>
  <c r="Z52" i="1"/>
  <c r="AD52" i="1"/>
  <c r="AF52" i="1"/>
  <c r="AE52" i="1" s="1"/>
  <c r="AI52" i="1" s="1"/>
  <c r="AK52" i="1"/>
  <c r="AJ52" i="1" s="1"/>
  <c r="AM52" i="1"/>
  <c r="AL52" i="1" s="1"/>
  <c r="AO52" i="1"/>
  <c r="AN52" i="1" s="1"/>
  <c r="AP52" i="1" s="1"/>
  <c r="AR52" i="1"/>
  <c r="AQ52" i="1" s="1"/>
  <c r="AS52" i="1" s="1"/>
  <c r="AV52" i="1"/>
  <c r="AU52" i="1" s="1"/>
  <c r="AZ52" i="1"/>
  <c r="AY52" i="1" s="1"/>
  <c r="BB52" i="1"/>
  <c r="BA52" i="1" s="1"/>
  <c r="I53" i="1"/>
  <c r="R53" i="1"/>
  <c r="Q53" i="1" s="1"/>
  <c r="S53" i="1" s="1"/>
  <c r="W53" i="1"/>
  <c r="Y53" i="1" s="1"/>
  <c r="AA53" i="1"/>
  <c r="AB53" i="1"/>
  <c r="AF53" i="1"/>
  <c r="AE53" i="1" s="1"/>
  <c r="AI53" i="1" s="1"/>
  <c r="AK53" i="1"/>
  <c r="AJ53" i="1" s="1"/>
  <c r="AM53" i="1"/>
  <c r="AL53" i="1" s="1"/>
  <c r="AO53" i="1"/>
  <c r="AN53" i="1" s="1"/>
  <c r="AP53" i="1" s="1"/>
  <c r="AR53" i="1"/>
  <c r="AT53" i="1" s="1"/>
  <c r="AV53" i="1"/>
  <c r="AU53" i="1" s="1"/>
  <c r="AZ53" i="1"/>
  <c r="AY53" i="1" s="1"/>
  <c r="BB53" i="1"/>
  <c r="BA53" i="1" s="1"/>
  <c r="I54" i="1"/>
  <c r="R54" i="1"/>
  <c r="Q54" i="1" s="1"/>
  <c r="Z54" i="1"/>
  <c r="AF54" i="1"/>
  <c r="AE54" i="1" s="1"/>
  <c r="AI54" i="1" s="1"/>
  <c r="AK54" i="1"/>
  <c r="AJ54" i="1" s="1"/>
  <c r="AM54" i="1"/>
  <c r="AL54" i="1" s="1"/>
  <c r="AO54" i="1"/>
  <c r="AN54" i="1" s="1"/>
  <c r="AP54" i="1" s="1"/>
  <c r="AR54" i="1"/>
  <c r="AQ54" i="1" s="1"/>
  <c r="AS54" i="1" s="1"/>
  <c r="AV54" i="1"/>
  <c r="AU54" i="1" s="1"/>
  <c r="AZ54" i="1"/>
  <c r="AY54" i="1" s="1"/>
  <c r="BB54" i="1"/>
  <c r="BA54" i="1" s="1"/>
  <c r="I56" i="1"/>
  <c r="R56" i="1"/>
  <c r="Q56" i="1" s="1"/>
  <c r="S56" i="1" s="1"/>
  <c r="V56" i="1"/>
  <c r="U56" i="1" s="1"/>
  <c r="AF56" i="1"/>
  <c r="AE56" i="1" s="1"/>
  <c r="AI56" i="1" s="1"/>
  <c r="AK56" i="1"/>
  <c r="AJ56" i="1" s="1"/>
  <c r="AM56" i="1"/>
  <c r="AL56" i="1" s="1"/>
  <c r="AO56" i="1"/>
  <c r="AN56" i="1" s="1"/>
  <c r="AP56" i="1" s="1"/>
  <c r="AR56" i="1"/>
  <c r="AT56" i="1" s="1"/>
  <c r="AV56" i="1"/>
  <c r="AU56" i="1" s="1"/>
  <c r="AZ56" i="1"/>
  <c r="AY56" i="1" s="1"/>
  <c r="BB56" i="1"/>
  <c r="BA56" i="1" s="1"/>
  <c r="I62" i="1"/>
  <c r="R62" i="1"/>
  <c r="Q62" i="1" s="1"/>
  <c r="S62" i="1" s="1"/>
  <c r="V62" i="1"/>
  <c r="X62" i="1" s="1"/>
  <c r="Z62" i="1" s="1"/>
  <c r="AF62" i="1"/>
  <c r="AE62" i="1" s="1"/>
  <c r="AK62" i="1"/>
  <c r="AJ62" i="1" s="1"/>
  <c r="AM62" i="1"/>
  <c r="AL62" i="1" s="1"/>
  <c r="AO62" i="1"/>
  <c r="AN62" i="1" s="1"/>
  <c r="AP62" i="1" s="1"/>
  <c r="AR62" i="1"/>
  <c r="AQ62" i="1" s="1"/>
  <c r="AS62" i="1" s="1"/>
  <c r="AV62" i="1"/>
  <c r="AU62" i="1" s="1"/>
  <c r="AZ62" i="1"/>
  <c r="AY62" i="1" s="1"/>
  <c r="BB62" i="1"/>
  <c r="BA62" i="1" s="1"/>
  <c r="I64" i="1"/>
  <c r="R64" i="1"/>
  <c r="Q64" i="1" s="1"/>
  <c r="S64" i="1" s="1"/>
  <c r="V64" i="1"/>
  <c r="U64" i="1" s="1"/>
  <c r="AF64" i="1"/>
  <c r="AE64" i="1" s="1"/>
  <c r="AI64" i="1" s="1"/>
  <c r="AK64" i="1"/>
  <c r="AJ64" i="1" s="1"/>
  <c r="AM64" i="1"/>
  <c r="AL64" i="1" s="1"/>
  <c r="AO64" i="1"/>
  <c r="AN64" i="1" s="1"/>
  <c r="AP64" i="1" s="1"/>
  <c r="AR64" i="1"/>
  <c r="AT64" i="1" s="1"/>
  <c r="AV64" i="1"/>
  <c r="AU64" i="1" s="1"/>
  <c r="AZ64" i="1"/>
  <c r="AY64" i="1" s="1"/>
  <c r="BB64" i="1"/>
  <c r="BA64" i="1" s="1"/>
  <c r="I70" i="1"/>
  <c r="J70" i="1" s="1"/>
  <c r="R70" i="1"/>
  <c r="Q70" i="1" s="1"/>
  <c r="V70" i="1"/>
  <c r="X70" i="1" s="1"/>
  <c r="AC70" i="1" s="1"/>
  <c r="AF70" i="1"/>
  <c r="AE70" i="1" s="1"/>
  <c r="AK70" i="1"/>
  <c r="AJ70" i="1" s="1"/>
  <c r="AM70" i="1"/>
  <c r="AL70" i="1" s="1"/>
  <c r="AO70" i="1"/>
  <c r="AN70" i="1" s="1"/>
  <c r="AP70" i="1" s="1"/>
  <c r="AR70" i="1"/>
  <c r="AQ70" i="1" s="1"/>
  <c r="AS70" i="1" s="1"/>
  <c r="AV70" i="1"/>
  <c r="AU70" i="1" s="1"/>
  <c r="AZ70" i="1"/>
  <c r="AY70" i="1" s="1"/>
  <c r="BB70" i="1"/>
  <c r="BA70" i="1" s="1"/>
  <c r="I86" i="1"/>
  <c r="R86" i="1"/>
  <c r="Q86" i="1" s="1"/>
  <c r="S86" i="1" s="1"/>
  <c r="V86" i="1"/>
  <c r="U86" i="1" s="1"/>
  <c r="AF86" i="1"/>
  <c r="AE86" i="1" s="1"/>
  <c r="AI86" i="1" s="1"/>
  <c r="AK86" i="1"/>
  <c r="AJ86" i="1" s="1"/>
  <c r="AM86" i="1"/>
  <c r="AL86" i="1" s="1"/>
  <c r="AO86" i="1"/>
  <c r="AN86" i="1" s="1"/>
  <c r="AP86" i="1" s="1"/>
  <c r="AR86" i="1"/>
  <c r="AT86" i="1" s="1"/>
  <c r="AV86" i="1"/>
  <c r="AU86" i="1" s="1"/>
  <c r="AZ86" i="1"/>
  <c r="AY86" i="1" s="1"/>
  <c r="BB86" i="1"/>
  <c r="BA86" i="1" s="1"/>
  <c r="I88" i="1"/>
  <c r="R88" i="1"/>
  <c r="Q88" i="1" s="1"/>
  <c r="V88" i="1"/>
  <c r="X88" i="1" s="1"/>
  <c r="Z88" i="1" s="1"/>
  <c r="AF88" i="1"/>
  <c r="AE88" i="1" s="1"/>
  <c r="AI88" i="1" s="1"/>
  <c r="AK88" i="1"/>
  <c r="AJ88" i="1" s="1"/>
  <c r="AM88" i="1"/>
  <c r="AL88" i="1" s="1"/>
  <c r="AO88" i="1"/>
  <c r="AN88" i="1" s="1"/>
  <c r="AP88" i="1" s="1"/>
  <c r="AR88" i="1"/>
  <c r="AQ88" i="1" s="1"/>
  <c r="AS88" i="1" s="1"/>
  <c r="AV88" i="1"/>
  <c r="AU88" i="1" s="1"/>
  <c r="AZ88" i="1"/>
  <c r="AY88" i="1" s="1"/>
  <c r="BB88" i="1"/>
  <c r="BA88" i="1" s="1"/>
  <c r="I91" i="1"/>
  <c r="R91" i="1"/>
  <c r="Q91" i="1" s="1"/>
  <c r="S91" i="1" s="1"/>
  <c r="V91" i="1"/>
  <c r="U91" i="1" s="1"/>
  <c r="AF91" i="1"/>
  <c r="AE91" i="1" s="1"/>
  <c r="AG91" i="1" s="1"/>
  <c r="AK91" i="1"/>
  <c r="AJ91" i="1" s="1"/>
  <c r="AM91" i="1"/>
  <c r="AL91" i="1" s="1"/>
  <c r="AO91" i="1"/>
  <c r="AN91" i="1" s="1"/>
  <c r="AP91" i="1" s="1"/>
  <c r="AR91" i="1"/>
  <c r="AQ91" i="1" s="1"/>
  <c r="AS91" i="1" s="1"/>
  <c r="AV91" i="1"/>
  <c r="AU91" i="1" s="1"/>
  <c r="AZ91" i="1"/>
  <c r="AY91" i="1" s="1"/>
  <c r="BB91" i="1"/>
  <c r="BA91" i="1" s="1"/>
  <c r="I93" i="1"/>
  <c r="R93" i="1"/>
  <c r="Q93" i="1" s="1"/>
  <c r="V93" i="1"/>
  <c r="X93" i="1" s="1"/>
  <c r="AB93" i="1" s="1"/>
  <c r="AF93" i="1"/>
  <c r="AE93" i="1" s="1"/>
  <c r="AI93" i="1" s="1"/>
  <c r="AK93" i="1"/>
  <c r="AJ93" i="1" s="1"/>
  <c r="AM93" i="1"/>
  <c r="AL93" i="1" s="1"/>
  <c r="AO93" i="1"/>
  <c r="AN93" i="1" s="1"/>
  <c r="AP93" i="1" s="1"/>
  <c r="AR93" i="1"/>
  <c r="AQ93" i="1" s="1"/>
  <c r="AS93" i="1" s="1"/>
  <c r="AV93" i="1"/>
  <c r="AU93" i="1" s="1"/>
  <c r="AZ93" i="1"/>
  <c r="AY93" i="1" s="1"/>
  <c r="BB93" i="1"/>
  <c r="BA93" i="1" s="1"/>
  <c r="BB42" i="1"/>
  <c r="AZ42" i="1"/>
  <c r="AV42" i="1"/>
  <c r="AR42" i="1"/>
  <c r="AO42" i="1"/>
  <c r="AM42" i="1"/>
  <c r="AK42" i="1"/>
  <c r="AF42" i="1"/>
  <c r="V42" i="1"/>
  <c r="R42" i="1"/>
  <c r="I42" i="1"/>
  <c r="N93" i="1" l="1"/>
  <c r="K93" i="1"/>
  <c r="L93" i="1"/>
  <c r="K64" i="1"/>
  <c r="L64" i="1"/>
  <c r="K62" i="1"/>
  <c r="L62" i="1"/>
  <c r="K53" i="1"/>
  <c r="L53" i="1"/>
  <c r="K52" i="1"/>
  <c r="L52" i="1"/>
  <c r="K51" i="1"/>
  <c r="L51" i="1"/>
  <c r="K43" i="1"/>
  <c r="L43" i="1"/>
  <c r="M105" i="1"/>
  <c r="K105" i="1"/>
  <c r="L105" i="1"/>
  <c r="K86" i="1"/>
  <c r="L86" i="1"/>
  <c r="N70" i="1"/>
  <c r="K70" i="1"/>
  <c r="L70" i="1"/>
  <c r="O48" i="1"/>
  <c r="K48" i="1"/>
  <c r="L48" i="1"/>
  <c r="H103" i="1"/>
  <c r="K103" i="1"/>
  <c r="L103" i="1"/>
  <c r="K124" i="1"/>
  <c r="L124" i="1"/>
  <c r="H88" i="1"/>
  <c r="K88" i="1"/>
  <c r="L88" i="1"/>
  <c r="P50" i="1"/>
  <c r="K50" i="1"/>
  <c r="L50" i="1"/>
  <c r="K107" i="1"/>
  <c r="L107" i="1"/>
  <c r="K125" i="1"/>
  <c r="L125" i="1"/>
  <c r="H42" i="1"/>
  <c r="K42" i="1"/>
  <c r="L42" i="1"/>
  <c r="K91" i="1"/>
  <c r="L91" i="1"/>
  <c r="K56" i="1"/>
  <c r="L56" i="1"/>
  <c r="K54" i="1"/>
  <c r="L54" i="1"/>
  <c r="K49" i="1"/>
  <c r="L49" i="1"/>
  <c r="K104" i="1"/>
  <c r="L104" i="1"/>
  <c r="P70" i="1"/>
  <c r="J50" i="1"/>
  <c r="O70" i="1"/>
  <c r="O93" i="1"/>
  <c r="O88" i="1"/>
  <c r="AT52" i="1"/>
  <c r="X43" i="1"/>
  <c r="AC43" i="1" s="1"/>
  <c r="X56" i="1"/>
  <c r="W56" i="1" s="1"/>
  <c r="Y56" i="1" s="1"/>
  <c r="AT54" i="1"/>
  <c r="X86" i="1"/>
  <c r="AA86" i="1" s="1"/>
  <c r="Z107" i="1"/>
  <c r="AB107" i="1"/>
  <c r="J86" i="1"/>
  <c r="H86" i="1"/>
  <c r="J54" i="1"/>
  <c r="H54" i="1"/>
  <c r="N107" i="1"/>
  <c r="H107" i="1"/>
  <c r="J56" i="1"/>
  <c r="H56" i="1"/>
  <c r="P48" i="1"/>
  <c r="AQ43" i="1"/>
  <c r="AS43" i="1" s="1"/>
  <c r="J43" i="1"/>
  <c r="H43" i="1"/>
  <c r="AQ107" i="1"/>
  <c r="AS107" i="1" s="1"/>
  <c r="J104" i="1"/>
  <c r="H104" i="1"/>
  <c r="J91" i="1"/>
  <c r="H91" i="1"/>
  <c r="M88" i="1"/>
  <c r="M64" i="1"/>
  <c r="H64" i="1"/>
  <c r="J53" i="1"/>
  <c r="H53" i="1"/>
  <c r="AQ49" i="1"/>
  <c r="AS49" i="1" s="1"/>
  <c r="J125" i="1"/>
  <c r="H125" i="1"/>
  <c r="O51" i="1"/>
  <c r="H51" i="1"/>
  <c r="M48" i="1"/>
  <c r="H48" i="1"/>
  <c r="N88" i="1"/>
  <c r="M50" i="1"/>
  <c r="H50" i="1"/>
  <c r="U107" i="1"/>
  <c r="N105" i="1"/>
  <c r="H105" i="1"/>
  <c r="M93" i="1"/>
  <c r="H93" i="1"/>
  <c r="AH93" i="1"/>
  <c r="P93" i="1"/>
  <c r="AG88" i="1"/>
  <c r="P88" i="1"/>
  <c r="J88" i="1"/>
  <c r="M70" i="1"/>
  <c r="H70" i="1"/>
  <c r="N62" i="1"/>
  <c r="H62" i="1"/>
  <c r="O54" i="1"/>
  <c r="J52" i="1"/>
  <c r="H52" i="1"/>
  <c r="O50" i="1"/>
  <c r="J49" i="1"/>
  <c r="H49" i="1"/>
  <c r="J48" i="1"/>
  <c r="M107" i="1"/>
  <c r="O105" i="1"/>
  <c r="U104" i="1"/>
  <c r="P124" i="1"/>
  <c r="H124" i="1"/>
  <c r="AH107" i="1"/>
  <c r="AG107" i="1"/>
  <c r="J93" i="1"/>
  <c r="P64" i="1"/>
  <c r="O62" i="1"/>
  <c r="AQ56" i="1"/>
  <c r="AS56" i="1" s="1"/>
  <c r="M54" i="1"/>
  <c r="N50" i="1"/>
  <c r="N48" i="1"/>
  <c r="W107" i="1"/>
  <c r="Y107" i="1" s="1"/>
  <c r="U105" i="1"/>
  <c r="O104" i="1"/>
  <c r="M124" i="1"/>
  <c r="U93" i="1"/>
  <c r="AQ64" i="1"/>
  <c r="AS64" i="1" s="1"/>
  <c r="N54" i="1"/>
  <c r="AQ51" i="1"/>
  <c r="AS51" i="1" s="1"/>
  <c r="AQ104" i="1"/>
  <c r="AS104" i="1" s="1"/>
  <c r="AT88" i="1"/>
  <c r="O64" i="1"/>
  <c r="M62" i="1"/>
  <c r="P54" i="1"/>
  <c r="AC107" i="1"/>
  <c r="O107" i="1"/>
  <c r="U125" i="1"/>
  <c r="Z105" i="1"/>
  <c r="AA105" i="1"/>
  <c r="W105" i="1"/>
  <c r="Y105" i="1" s="1"/>
  <c r="AB105" i="1"/>
  <c r="AC105" i="1"/>
  <c r="T104" i="1"/>
  <c r="S104" i="1"/>
  <c r="O52" i="1"/>
  <c r="T91" i="1"/>
  <c r="AQ86" i="1"/>
  <c r="AS86" i="1" s="1"/>
  <c r="O86" i="1"/>
  <c r="U70" i="1"/>
  <c r="U62" i="1"/>
  <c r="P62" i="1"/>
  <c r="J62" i="1"/>
  <c r="AH54" i="1"/>
  <c r="AQ53" i="1"/>
  <c r="AS53" i="1" s="1"/>
  <c r="AH52" i="1"/>
  <c r="N52" i="1"/>
  <c r="O49" i="1"/>
  <c r="AA107" i="1"/>
  <c r="AQ105" i="1"/>
  <c r="AS105" i="1" s="1"/>
  <c r="AI105" i="1"/>
  <c r="U124" i="1"/>
  <c r="AQ125" i="1"/>
  <c r="AS125" i="1" s="1"/>
  <c r="AI125" i="1"/>
  <c r="O125" i="1"/>
  <c r="AD88" i="1"/>
  <c r="T64" i="1"/>
  <c r="T62" i="1"/>
  <c r="M52" i="1"/>
  <c r="AI49" i="1"/>
  <c r="AI43" i="1"/>
  <c r="AG105" i="1"/>
  <c r="AI104" i="1"/>
  <c r="AG125" i="1"/>
  <c r="AH91" i="1"/>
  <c r="X91" i="1"/>
  <c r="AB91" i="1" s="1"/>
  <c r="AT70" i="1"/>
  <c r="O91" i="1"/>
  <c r="T86" i="1"/>
  <c r="AT62" i="1"/>
  <c r="P52" i="1"/>
  <c r="AT50" i="1"/>
  <c r="AT48" i="1"/>
  <c r="O43" i="1"/>
  <c r="W51" i="1"/>
  <c r="Y51" i="1" s="1"/>
  <c r="AA49" i="1"/>
  <c r="AD54" i="1"/>
  <c r="AB51" i="1"/>
  <c r="AB125" i="1"/>
  <c r="AC125" i="1"/>
  <c r="Z125" i="1"/>
  <c r="AD125" i="1"/>
  <c r="W125" i="1"/>
  <c r="Y125" i="1" s="1"/>
  <c r="AA125" i="1"/>
  <c r="S125" i="1"/>
  <c r="N125" i="1"/>
  <c r="M125" i="1"/>
  <c r="P125" i="1"/>
  <c r="AB124" i="1"/>
  <c r="AA124" i="1"/>
  <c r="W124" i="1"/>
  <c r="Y124" i="1" s="1"/>
  <c r="AD124" i="1"/>
  <c r="Z124" i="1"/>
  <c r="AC124" i="1"/>
  <c r="AG124" i="1"/>
  <c r="N124" i="1"/>
  <c r="AH124" i="1"/>
  <c r="AT124" i="1"/>
  <c r="O124" i="1"/>
  <c r="S124" i="1"/>
  <c r="J124" i="1"/>
  <c r="W104" i="1"/>
  <c r="Y104" i="1" s="1"/>
  <c r="AA104" i="1"/>
  <c r="AB104" i="1"/>
  <c r="AC104" i="1"/>
  <c r="Z104" i="1"/>
  <c r="AD104" i="1"/>
  <c r="T107" i="1"/>
  <c r="P107" i="1"/>
  <c r="J107" i="1"/>
  <c r="T105" i="1"/>
  <c r="P105" i="1"/>
  <c r="J105" i="1"/>
  <c r="AH104" i="1"/>
  <c r="N104" i="1"/>
  <c r="AI107" i="1"/>
  <c r="M104" i="1"/>
  <c r="AD107" i="1"/>
  <c r="AD105" i="1"/>
  <c r="P104" i="1"/>
  <c r="S93" i="1"/>
  <c r="T93" i="1"/>
  <c r="S88" i="1"/>
  <c r="T88" i="1"/>
  <c r="W62" i="1"/>
  <c r="Y62" i="1" s="1"/>
  <c r="AA62" i="1"/>
  <c r="AB62" i="1"/>
  <c r="AC62" i="1"/>
  <c r="AD62" i="1"/>
  <c r="AH70" i="1"/>
  <c r="AI70" i="1"/>
  <c r="AG93" i="1"/>
  <c r="AT91" i="1"/>
  <c r="W93" i="1"/>
  <c r="Y93" i="1" s="1"/>
  <c r="AA93" i="1"/>
  <c r="Z93" i="1"/>
  <c r="N91" i="1"/>
  <c r="M91" i="1"/>
  <c r="AG86" i="1"/>
  <c r="AH86" i="1"/>
  <c r="M86" i="1"/>
  <c r="N86" i="1"/>
  <c r="T70" i="1"/>
  <c r="S70" i="1"/>
  <c r="AI62" i="1"/>
  <c r="AG62" i="1"/>
  <c r="AH62" i="1"/>
  <c r="AC93" i="1"/>
  <c r="AT93" i="1"/>
  <c r="W88" i="1"/>
  <c r="Y88" i="1" s="1"/>
  <c r="AA88" i="1"/>
  <c r="AB88" i="1"/>
  <c r="AD93" i="1"/>
  <c r="AI91" i="1"/>
  <c r="P91" i="1"/>
  <c r="AH88" i="1"/>
  <c r="AC88" i="1"/>
  <c r="U88" i="1"/>
  <c r="P86" i="1"/>
  <c r="AG70" i="1"/>
  <c r="AB70" i="1"/>
  <c r="Z70" i="1"/>
  <c r="AD70" i="1"/>
  <c r="W70" i="1"/>
  <c r="Y70" i="1" s="1"/>
  <c r="AA70" i="1"/>
  <c r="AG64" i="1"/>
  <c r="AH64" i="1"/>
  <c r="X64" i="1"/>
  <c r="J64" i="1"/>
  <c r="T56" i="1"/>
  <c r="O56" i="1"/>
  <c r="AG54" i="1"/>
  <c r="T53" i="1"/>
  <c r="O53" i="1"/>
  <c r="AG52" i="1"/>
  <c r="S51" i="1"/>
  <c r="S54" i="1"/>
  <c r="T54" i="1"/>
  <c r="AC53" i="1"/>
  <c r="Z53" i="1"/>
  <c r="AD53" i="1"/>
  <c r="S52" i="1"/>
  <c r="T52" i="1"/>
  <c r="S49" i="1"/>
  <c r="T49" i="1"/>
  <c r="S43" i="1"/>
  <c r="T43" i="1"/>
  <c r="AG56" i="1"/>
  <c r="AH56" i="1"/>
  <c r="M56" i="1"/>
  <c r="N56" i="1"/>
  <c r="W54" i="1"/>
  <c r="Y54" i="1" s="1"/>
  <c r="AA54" i="1"/>
  <c r="AB54" i="1"/>
  <c r="AG53" i="1"/>
  <c r="AH53" i="1"/>
  <c r="M53" i="1"/>
  <c r="N53" i="1"/>
  <c r="W52" i="1"/>
  <c r="Y52" i="1" s="1"/>
  <c r="AA52" i="1"/>
  <c r="AB52" i="1"/>
  <c r="AG51" i="1"/>
  <c r="AH51" i="1"/>
  <c r="AG50" i="1"/>
  <c r="AH50" i="1"/>
  <c r="AI50" i="1"/>
  <c r="AG48" i="1"/>
  <c r="AH48" i="1"/>
  <c r="AI48" i="1"/>
  <c r="N64" i="1"/>
  <c r="P56" i="1"/>
  <c r="AC54" i="1"/>
  <c r="P53" i="1"/>
  <c r="AC52" i="1"/>
  <c r="J51" i="1"/>
  <c r="P51" i="1"/>
  <c r="M51" i="1"/>
  <c r="N51" i="1"/>
  <c r="AC50" i="1"/>
  <c r="Z50" i="1"/>
  <c r="AD50" i="1"/>
  <c r="W50" i="1"/>
  <c r="Y50" i="1" s="1"/>
  <c r="AA50" i="1"/>
  <c r="AB50" i="1"/>
  <c r="AC48" i="1"/>
  <c r="Z48" i="1"/>
  <c r="AD48" i="1"/>
  <c r="W48" i="1"/>
  <c r="Y48" i="1" s="1"/>
  <c r="AA48" i="1"/>
  <c r="AB48" i="1"/>
  <c r="AD51" i="1"/>
  <c r="Z51" i="1"/>
  <c r="T50" i="1"/>
  <c r="AH49" i="1"/>
  <c r="AD49" i="1"/>
  <c r="Z49" i="1"/>
  <c r="N49" i="1"/>
  <c r="T48" i="1"/>
  <c r="AH43" i="1"/>
  <c r="N43" i="1"/>
  <c r="M49" i="1"/>
  <c r="M43" i="1"/>
  <c r="P49" i="1"/>
  <c r="P43" i="1"/>
  <c r="AU103" i="1"/>
  <c r="AY103" i="1"/>
  <c r="BA103" i="1"/>
  <c r="BA42" i="1"/>
  <c r="AY42" i="1"/>
  <c r="AU42" i="1"/>
  <c r="AQ42" i="1"/>
  <c r="AS42" i="1" s="1"/>
  <c r="AS103" i="1"/>
  <c r="AT103" i="1"/>
  <c r="AT42" i="1"/>
  <c r="AN42" i="1"/>
  <c r="AP42" i="1" s="1"/>
  <c r="AN103" i="1"/>
  <c r="AP103" i="1" s="1"/>
  <c r="AL42" i="1"/>
  <c r="AJ42" i="1"/>
  <c r="AJ103" i="1"/>
  <c r="X103" i="1"/>
  <c r="AC103" i="1" s="1"/>
  <c r="X42" i="1"/>
  <c r="AA42" i="1" s="1"/>
  <c r="U42" i="1"/>
  <c r="U103" i="1"/>
  <c r="Q42" i="1"/>
  <c r="T42" i="1" s="1"/>
  <c r="Q103" i="1"/>
  <c r="S103" i="1" s="1"/>
  <c r="AZ30" i="1"/>
  <c r="AZ28" i="1"/>
  <c r="AZ27" i="1"/>
  <c r="AZ26" i="1"/>
  <c r="AZ25" i="1"/>
  <c r="AZ24" i="1"/>
  <c r="AZ23" i="1"/>
  <c r="AZ12" i="1"/>
  <c r="AZ13" i="1"/>
  <c r="AZ14" i="1"/>
  <c r="AZ15" i="1"/>
  <c r="AZ16" i="1"/>
  <c r="AZ18" i="1"/>
  <c r="AZ19" i="1"/>
  <c r="AZ20" i="1"/>
  <c r="AZ11" i="1"/>
  <c r="BB30" i="1"/>
  <c r="BA30" i="1" s="1"/>
  <c r="BB20" i="1"/>
  <c r="BA20" i="1" s="1"/>
  <c r="BB12" i="1"/>
  <c r="BA12" i="1" s="1"/>
  <c r="BB13" i="1"/>
  <c r="BA13" i="1" s="1"/>
  <c r="BB14" i="1"/>
  <c r="BA14" i="1" s="1"/>
  <c r="BB15" i="1"/>
  <c r="BA15" i="1" s="1"/>
  <c r="BB16" i="1"/>
  <c r="BA16" i="1" s="1"/>
  <c r="BB18" i="1"/>
  <c r="BA18" i="1" s="1"/>
  <c r="BB11" i="1"/>
  <c r="BA11" i="1" s="1"/>
  <c r="BB28" i="1"/>
  <c r="BB27" i="1"/>
  <c r="BB26" i="1"/>
  <c r="BB25" i="1"/>
  <c r="BB24" i="1"/>
  <c r="BB23" i="1"/>
  <c r="BA21" i="1"/>
  <c r="BA22" i="1"/>
  <c r="AV12" i="1"/>
  <c r="AV13" i="1"/>
  <c r="AV14" i="1"/>
  <c r="AV15" i="1"/>
  <c r="AV16" i="1"/>
  <c r="AV18" i="1"/>
  <c r="AV19" i="1"/>
  <c r="AV20" i="1"/>
  <c r="AV23" i="1"/>
  <c r="AV24" i="1"/>
  <c r="AV25" i="1"/>
  <c r="AV26" i="1"/>
  <c r="AV27" i="1"/>
  <c r="AV28" i="1"/>
  <c r="AV11" i="1"/>
  <c r="AV30" i="1" s="1"/>
  <c r="AS12" i="1"/>
  <c r="AT12" i="1"/>
  <c r="AS13" i="1"/>
  <c r="AT13" i="1"/>
  <c r="AS14" i="1"/>
  <c r="AT14" i="1"/>
  <c r="AS15" i="1"/>
  <c r="AT15" i="1"/>
  <c r="AS16" i="1"/>
  <c r="AT16" i="1"/>
  <c r="AS21" i="1"/>
  <c r="AT21" i="1"/>
  <c r="AS22" i="1"/>
  <c r="AT22" i="1"/>
  <c r="AS23" i="1"/>
  <c r="AT23" i="1"/>
  <c r="AS24" i="1"/>
  <c r="AT24" i="1"/>
  <c r="AS25" i="1"/>
  <c r="AT25" i="1"/>
  <c r="AS26" i="1"/>
  <c r="AT26" i="1"/>
  <c r="AS27" i="1"/>
  <c r="AT27" i="1"/>
  <c r="AS28" i="1"/>
  <c r="AT28" i="1"/>
  <c r="AT11" i="1"/>
  <c r="AS11" i="1"/>
  <c r="AR12" i="1"/>
  <c r="AR13" i="1"/>
  <c r="AR14" i="1"/>
  <c r="AR15" i="1"/>
  <c r="AR16" i="1"/>
  <c r="AR23" i="1"/>
  <c r="AR24" i="1"/>
  <c r="AR25" i="1"/>
  <c r="AR26" i="1"/>
  <c r="AR27" i="1"/>
  <c r="AR28" i="1"/>
  <c r="AR11" i="1"/>
  <c r="AP30" i="1"/>
  <c r="AP28" i="1"/>
  <c r="AP26" i="1"/>
  <c r="AP25" i="1"/>
  <c r="AP24" i="1"/>
  <c r="AP23" i="1"/>
  <c r="AP12" i="1"/>
  <c r="AP13" i="1"/>
  <c r="AP14" i="1"/>
  <c r="AP15" i="1"/>
  <c r="AP16" i="1"/>
  <c r="AP18" i="1"/>
  <c r="AP19" i="1"/>
  <c r="AP20" i="1"/>
  <c r="AP11" i="1"/>
  <c r="AP21" i="1"/>
  <c r="AP22" i="1"/>
  <c r="AP27" i="1"/>
  <c r="AZ36" i="1"/>
  <c r="AZ35" i="1"/>
  <c r="AK12" i="1"/>
  <c r="AK13" i="1"/>
  <c r="AK14" i="1"/>
  <c r="AK15" i="1"/>
  <c r="AK16" i="1"/>
  <c r="AK18" i="1"/>
  <c r="AK19" i="1"/>
  <c r="AK20" i="1"/>
  <c r="AK23" i="1"/>
  <c r="AK24" i="1"/>
  <c r="AK25" i="1"/>
  <c r="AK26" i="1"/>
  <c r="AK27" i="1"/>
  <c r="AK28" i="1"/>
  <c r="AK11" i="1"/>
  <c r="AF11" i="1"/>
  <c r="AF12" i="1"/>
  <c r="AF13" i="1"/>
  <c r="AF14" i="1"/>
  <c r="AF15" i="1"/>
  <c r="AF16" i="1"/>
  <c r="AF23" i="1"/>
  <c r="AF24" i="1"/>
  <c r="AF25" i="1"/>
  <c r="AF26" i="1"/>
  <c r="AF27" i="1"/>
  <c r="AF28" i="1"/>
  <c r="AF30" i="1"/>
  <c r="AD30" i="1"/>
  <c r="AA30" i="1"/>
  <c r="AB11" i="1"/>
  <c r="AD28" i="1"/>
  <c r="AB27" i="1"/>
  <c r="AD26" i="1"/>
  <c r="AB25" i="1"/>
  <c r="AD24" i="1"/>
  <c r="AB23" i="1"/>
  <c r="AD22" i="1"/>
  <c r="AB21" i="1"/>
  <c r="AD20" i="1"/>
  <c r="AB19" i="1"/>
  <c r="AD18" i="1"/>
  <c r="AB16" i="1"/>
  <c r="AD15" i="1"/>
  <c r="AB14" i="1"/>
  <c r="AD13" i="1"/>
  <c r="AB12" i="1"/>
  <c r="AD11" i="1"/>
  <c r="V36" i="1"/>
  <c r="V35" i="1"/>
  <c r="V30" i="1"/>
  <c r="V28" i="1"/>
  <c r="V27" i="1"/>
  <c r="V26" i="1"/>
  <c r="V25" i="1"/>
  <c r="V24" i="1"/>
  <c r="V23" i="1"/>
  <c r="V20" i="1"/>
  <c r="V19" i="1"/>
  <c r="V18" i="1"/>
  <c r="V16" i="1"/>
  <c r="V15" i="1"/>
  <c r="V14" i="1"/>
  <c r="V13" i="1"/>
  <c r="V12" i="1"/>
  <c r="V11" i="1"/>
  <c r="T36" i="1"/>
  <c r="S36" i="1"/>
  <c r="T35" i="1"/>
  <c r="S35" i="1"/>
  <c r="T34" i="1"/>
  <c r="S34" i="1"/>
  <c r="T33" i="1"/>
  <c r="S33" i="1"/>
  <c r="T32" i="1"/>
  <c r="S32" i="1"/>
  <c r="T31" i="1"/>
  <c r="S31" i="1"/>
  <c r="T30" i="1"/>
  <c r="S30" i="1"/>
  <c r="T28" i="1"/>
  <c r="S28" i="1"/>
  <c r="T27" i="1"/>
  <c r="S27" i="1"/>
  <c r="T26" i="1"/>
  <c r="S26" i="1"/>
  <c r="T25" i="1"/>
  <c r="S25" i="1"/>
  <c r="T24" i="1"/>
  <c r="S24" i="1"/>
  <c r="T23" i="1"/>
  <c r="S23" i="1"/>
  <c r="T22" i="1"/>
  <c r="S22" i="1"/>
  <c r="T21" i="1"/>
  <c r="S21" i="1"/>
  <c r="T16" i="1"/>
  <c r="S16" i="1"/>
  <c r="T15" i="1"/>
  <c r="S15" i="1"/>
  <c r="T14" i="1"/>
  <c r="S14" i="1"/>
  <c r="T13" i="1"/>
  <c r="S13" i="1"/>
  <c r="T12" i="1"/>
  <c r="S12" i="1"/>
  <c r="T11" i="1"/>
  <c r="S11" i="1"/>
  <c r="R36" i="1"/>
  <c r="R35" i="1"/>
  <c r="R30" i="1"/>
  <c r="R28" i="1"/>
  <c r="R27" i="1"/>
  <c r="R26" i="1"/>
  <c r="R25" i="1"/>
  <c r="R24" i="1"/>
  <c r="R23" i="1"/>
  <c r="R16" i="1"/>
  <c r="R15" i="1"/>
  <c r="R14" i="1"/>
  <c r="R13" i="1"/>
  <c r="R12" i="1"/>
  <c r="R11" i="1"/>
  <c r="E107" i="1"/>
  <c r="E105" i="1"/>
  <c r="E104" i="1"/>
  <c r="E103" i="1"/>
  <c r="E64" i="1"/>
  <c r="E62" i="1"/>
  <c r="E93" i="1"/>
  <c r="E91" i="1"/>
  <c r="E88" i="1"/>
  <c r="E86" i="1"/>
  <c r="E70" i="1"/>
  <c r="E56" i="1"/>
  <c r="E54" i="1"/>
  <c r="E53" i="1"/>
  <c r="E52" i="1"/>
  <c r="E51" i="1"/>
  <c r="E50" i="1"/>
  <c r="E49" i="1"/>
  <c r="E48" i="1"/>
  <c r="E43" i="1"/>
  <c r="E42" i="1"/>
  <c r="E30" i="1"/>
  <c r="E28" i="1"/>
  <c r="E27" i="1"/>
  <c r="E26" i="1"/>
  <c r="E25" i="1"/>
  <c r="E24" i="1"/>
  <c r="E23" i="1"/>
  <c r="E12" i="1"/>
  <c r="E13" i="1"/>
  <c r="E14" i="1"/>
  <c r="E15" i="1"/>
  <c r="E16" i="1"/>
  <c r="D16" i="1" s="1"/>
  <c r="E18" i="1"/>
  <c r="E19" i="1"/>
  <c r="E20" i="1"/>
  <c r="AI21" i="1"/>
  <c r="AH21" i="1"/>
  <c r="AG21" i="1"/>
  <c r="P21" i="1"/>
  <c r="O21" i="1"/>
  <c r="N21" i="1"/>
  <c r="M21" i="1"/>
  <c r="E11" i="1"/>
  <c r="I16" i="1"/>
  <c r="AG16" i="1"/>
  <c r="AH16" i="1"/>
  <c r="AI16" i="1"/>
  <c r="AM16" i="1"/>
  <c r="AQ18" i="1" l="1"/>
  <c r="AQ20" i="1"/>
  <c r="AQ19" i="1"/>
  <c r="AQ17" i="1" s="1"/>
  <c r="AE19" i="1"/>
  <c r="AE17" i="1" s="1"/>
  <c r="AE20" i="1"/>
  <c r="AF20" i="1" s="1"/>
  <c r="AE18" i="1"/>
  <c r="AF18" i="1" s="1"/>
  <c r="AS30" i="1"/>
  <c r="AR17" i="1"/>
  <c r="AR18" i="1"/>
  <c r="AR19" i="1"/>
  <c r="AR20" i="1"/>
  <c r="R18" i="1"/>
  <c r="R19" i="1"/>
  <c r="R20" i="1"/>
  <c r="N16" i="1"/>
  <c r="K16" i="1"/>
  <c r="L16" i="1"/>
  <c r="J16" i="1"/>
  <c r="Z43" i="1"/>
  <c r="AD56" i="1"/>
  <c r="AA22" i="1"/>
  <c r="Z56" i="1"/>
  <c r="AC56" i="1"/>
  <c r="AC86" i="1"/>
  <c r="W43" i="1"/>
  <c r="Y43" i="1" s="1"/>
  <c r="W86" i="1"/>
  <c r="Y86" i="1" s="1"/>
  <c r="AB28" i="1"/>
  <c r="AC27" i="1"/>
  <c r="Z27" i="1"/>
  <c r="AB24" i="1"/>
  <c r="AA24" i="1"/>
  <c r="Y23" i="1"/>
  <c r="Z23" i="1"/>
  <c r="X20" i="1"/>
  <c r="AA20" i="1"/>
  <c r="AD19" i="1"/>
  <c r="X15" i="1"/>
  <c r="AC14" i="1"/>
  <c r="AD43" i="1"/>
  <c r="AD86" i="1"/>
  <c r="AB43" i="1"/>
  <c r="Z42" i="1"/>
  <c r="Z91" i="1"/>
  <c r="AA43" i="1"/>
  <c r="Z86" i="1"/>
  <c r="AB86" i="1"/>
  <c r="AA56" i="1"/>
  <c r="AB56" i="1"/>
  <c r="X23" i="1"/>
  <c r="AC23" i="1"/>
  <c r="AA26" i="1"/>
  <c r="AD27" i="1"/>
  <c r="AB30" i="1"/>
  <c r="AD23" i="1"/>
  <c r="Y27" i="1"/>
  <c r="AA28" i="1"/>
  <c r="AA13" i="1"/>
  <c r="AD14" i="1"/>
  <c r="Y19" i="1"/>
  <c r="Y14" i="1"/>
  <c r="AA15" i="1"/>
  <c r="Z19" i="1"/>
  <c r="AB20" i="1"/>
  <c r="AA18" i="1"/>
  <c r="X11" i="1"/>
  <c r="AA11" i="1"/>
  <c r="Z14" i="1"/>
  <c r="AB15" i="1"/>
  <c r="AC19" i="1"/>
  <c r="AC12" i="1"/>
  <c r="AC16" i="1"/>
  <c r="AC21" i="1"/>
  <c r="Y25" i="1"/>
  <c r="AC25" i="1"/>
  <c r="X12" i="1"/>
  <c r="AD21" i="1"/>
  <c r="Z25" i="1"/>
  <c r="AD25" i="1"/>
  <c r="AB26" i="1"/>
  <c r="AC91" i="1"/>
  <c r="X13" i="1"/>
  <c r="X18" i="1"/>
  <c r="Y11" i="1"/>
  <c r="AC11" i="1"/>
  <c r="AA12" i="1"/>
  <c r="Y13" i="1"/>
  <c r="AC13" i="1"/>
  <c r="AA14" i="1"/>
  <c r="Y15" i="1"/>
  <c r="AC15" i="1"/>
  <c r="AA16" i="1"/>
  <c r="Y18" i="1"/>
  <c r="AC18" i="1"/>
  <c r="AA19" i="1"/>
  <c r="Y20" i="1"/>
  <c r="AC20" i="1"/>
  <c r="AA21" i="1"/>
  <c r="Y22" i="1"/>
  <c r="AC22" i="1"/>
  <c r="AA23" i="1"/>
  <c r="Y24" i="1"/>
  <c r="AC24" i="1"/>
  <c r="AA25" i="1"/>
  <c r="Y26" i="1"/>
  <c r="AC26" i="1"/>
  <c r="AA27" i="1"/>
  <c r="Y28" i="1"/>
  <c r="AC28" i="1"/>
  <c r="AT30" i="1"/>
  <c r="AD91" i="1"/>
  <c r="Y12" i="1"/>
  <c r="Y16" i="1"/>
  <c r="Y21" i="1"/>
  <c r="X16" i="1"/>
  <c r="Z12" i="1"/>
  <c r="AD12" i="1"/>
  <c r="AB13" i="1"/>
  <c r="Z16" i="1"/>
  <c r="AD16" i="1"/>
  <c r="AB18" i="1"/>
  <c r="Z21" i="1"/>
  <c r="AB22" i="1"/>
  <c r="AR30" i="1"/>
  <c r="X14" i="1"/>
  <c r="X19" i="1"/>
  <c r="Z11" i="1"/>
  <c r="Z13" i="1"/>
  <c r="Z15" i="1"/>
  <c r="Z18" i="1"/>
  <c r="Z20" i="1"/>
  <c r="Z22" i="1"/>
  <c r="Z24" i="1"/>
  <c r="Z26" i="1"/>
  <c r="Z28" i="1"/>
  <c r="W91" i="1"/>
  <c r="Y91" i="1" s="1"/>
  <c r="AA91" i="1"/>
  <c r="AD103" i="1"/>
  <c r="AB103" i="1"/>
  <c r="Z103" i="1"/>
  <c r="T103" i="1"/>
  <c r="AC64" i="1"/>
  <c r="AA64" i="1"/>
  <c r="W64" i="1"/>
  <c r="Y64" i="1" s="1"/>
  <c r="AB64" i="1"/>
  <c r="AD64" i="1"/>
  <c r="Z64" i="1"/>
  <c r="S42" i="1"/>
  <c r="AA103" i="1"/>
  <c r="Y30" i="1"/>
  <c r="AC30" i="1"/>
  <c r="Z30" i="1"/>
  <c r="O16" i="1"/>
  <c r="M16" i="1"/>
  <c r="P16" i="1"/>
  <c r="AF19" i="1" l="1"/>
  <c r="AG17" i="1"/>
  <c r="AH17" i="1"/>
  <c r="AF17" i="1"/>
  <c r="AI17" i="1"/>
  <c r="D53" i="1"/>
  <c r="D51" i="1"/>
  <c r="I30" i="1" l="1"/>
  <c r="P30" i="1" s="1"/>
  <c r="I28" i="1"/>
  <c r="O28" i="1" s="1"/>
  <c r="I27" i="1"/>
  <c r="I26" i="1"/>
  <c r="I25" i="1"/>
  <c r="I24" i="1"/>
  <c r="M24" i="1" s="1"/>
  <c r="I23" i="1"/>
  <c r="I12" i="1"/>
  <c r="I13" i="1"/>
  <c r="I14" i="1"/>
  <c r="P14" i="1" s="1"/>
  <c r="I15" i="1"/>
  <c r="I18" i="1"/>
  <c r="I19" i="1"/>
  <c r="I20" i="1"/>
  <c r="O20" i="1" s="1"/>
  <c r="I11" i="1"/>
  <c r="J103" i="1"/>
  <c r="M103" i="1"/>
  <c r="N103" i="1"/>
  <c r="O103" i="1"/>
  <c r="P103" i="1"/>
  <c r="P42" i="1"/>
  <c r="O42" i="1"/>
  <c r="N42" i="1"/>
  <c r="M42" i="1"/>
  <c r="J42" i="1"/>
  <c r="M22" i="1"/>
  <c r="N22" i="1"/>
  <c r="O22" i="1"/>
  <c r="P22" i="1"/>
  <c r="N14" i="1" l="1"/>
  <c r="P24" i="1"/>
  <c r="O24" i="1"/>
  <c r="N12" i="1"/>
  <c r="K12" i="1"/>
  <c r="L12" i="1"/>
  <c r="J12" i="1"/>
  <c r="K26" i="1"/>
  <c r="L26" i="1"/>
  <c r="J26" i="1"/>
  <c r="N15" i="1"/>
  <c r="J15" i="1"/>
  <c r="K15" i="1"/>
  <c r="L15" i="1"/>
  <c r="M27" i="1"/>
  <c r="K27" i="1"/>
  <c r="J27" i="1"/>
  <c r="L27" i="1"/>
  <c r="N20" i="1"/>
  <c r="J20" i="1"/>
  <c r="K20" i="1"/>
  <c r="L20" i="1"/>
  <c r="M14" i="1"/>
  <c r="K14" i="1"/>
  <c r="J14" i="1"/>
  <c r="L14" i="1"/>
  <c r="J24" i="1"/>
  <c r="K24" i="1"/>
  <c r="L24" i="1"/>
  <c r="N28" i="1"/>
  <c r="J28" i="1"/>
  <c r="K28" i="1"/>
  <c r="L28" i="1"/>
  <c r="M18" i="1"/>
  <c r="K18" i="1"/>
  <c r="L18" i="1"/>
  <c r="J18" i="1"/>
  <c r="N11" i="1"/>
  <c r="K11" i="1"/>
  <c r="L11" i="1"/>
  <c r="M23" i="1"/>
  <c r="K23" i="1"/>
  <c r="J23" i="1"/>
  <c r="L23" i="1"/>
  <c r="P20" i="1"/>
  <c r="M19" i="1"/>
  <c r="K19" i="1"/>
  <c r="J19" i="1"/>
  <c r="L19" i="1"/>
  <c r="M13" i="1"/>
  <c r="K13" i="1"/>
  <c r="L13" i="1"/>
  <c r="J13" i="1"/>
  <c r="N25" i="1"/>
  <c r="K25" i="1"/>
  <c r="L25" i="1"/>
  <c r="J25" i="1"/>
  <c r="M30" i="1"/>
  <c r="K30" i="1"/>
  <c r="L30" i="1"/>
  <c r="J30" i="1"/>
  <c r="O25" i="1"/>
  <c r="N24" i="1"/>
  <c r="O26" i="1"/>
  <c r="O18" i="1"/>
  <c r="N18" i="1"/>
  <c r="P26" i="1"/>
  <c r="P18" i="1"/>
  <c r="M15" i="1"/>
  <c r="O27" i="1"/>
  <c r="M25" i="1"/>
  <c r="O15" i="1"/>
  <c r="M28" i="1"/>
  <c r="P28" i="1"/>
  <c r="O14" i="1"/>
  <c r="O13" i="1"/>
  <c r="M11" i="1"/>
  <c r="J11" i="1"/>
  <c r="P25" i="1"/>
  <c r="P15" i="1"/>
  <c r="O23" i="1"/>
  <c r="P19" i="1"/>
  <c r="P13" i="1"/>
  <c r="O30" i="1"/>
  <c r="N30" i="1"/>
  <c r="N26" i="1"/>
  <c r="M26" i="1"/>
  <c r="M20" i="1"/>
  <c r="O19" i="1"/>
  <c r="N19" i="1"/>
  <c r="P12" i="1"/>
  <c r="M12" i="1"/>
  <c r="P27" i="1"/>
  <c r="P23" i="1"/>
  <c r="N27" i="1"/>
  <c r="N23" i="1"/>
  <c r="N13" i="1"/>
  <c r="O12" i="1"/>
  <c r="P11" i="1"/>
  <c r="O11" i="1"/>
  <c r="AM11" i="1" l="1"/>
  <c r="AM12" i="1"/>
  <c r="AM13" i="1"/>
  <c r="AM14" i="1"/>
  <c r="AM15" i="1"/>
  <c r="AM18" i="1"/>
  <c r="AM19" i="1"/>
  <c r="AM20" i="1"/>
  <c r="AM23" i="1"/>
  <c r="AM24" i="1"/>
  <c r="AM25" i="1"/>
  <c r="AM26" i="1"/>
  <c r="AM27" i="1"/>
  <c r="AM28" i="1"/>
  <c r="AM30" i="1"/>
  <c r="AE103" i="1" l="1"/>
  <c r="AH103" i="1" s="1"/>
  <c r="AE42" i="1"/>
  <c r="AH42" i="1" l="1"/>
  <c r="AG42" i="1"/>
  <c r="AH12" i="1"/>
  <c r="AH13" i="1"/>
  <c r="AH14" i="1"/>
  <c r="AH15" i="1"/>
  <c r="AH18" i="1"/>
  <c r="AH19" i="1"/>
  <c r="AH20" i="1"/>
  <c r="AH22" i="1"/>
  <c r="AH23" i="1"/>
  <c r="AH24" i="1"/>
  <c r="AH25" i="1"/>
  <c r="AH26" i="1"/>
  <c r="AH27" i="1"/>
  <c r="AH28" i="1"/>
  <c r="AH30" i="1"/>
  <c r="AH11" i="1"/>
  <c r="AI30" i="1" l="1"/>
  <c r="AG30" i="1"/>
  <c r="AG20" i="1"/>
  <c r="AI20" i="1"/>
  <c r="AG28" i="1"/>
  <c r="AI28" i="1"/>
  <c r="AG18" i="1"/>
  <c r="AI18" i="1"/>
  <c r="AG26" i="1"/>
  <c r="AI26" i="1"/>
  <c r="AG25" i="1"/>
  <c r="AI25" i="1"/>
  <c r="AI24" i="1"/>
  <c r="AG24" i="1"/>
  <c r="AG22" i="1"/>
  <c r="AI22" i="1"/>
  <c r="AI19" i="1"/>
  <c r="AG19" i="1"/>
  <c r="AG27" i="1"/>
  <c r="AI27" i="1"/>
  <c r="AG23" i="1"/>
  <c r="AI23" i="1"/>
  <c r="AI103" i="1"/>
  <c r="AG103" i="1"/>
  <c r="AI42" i="1"/>
  <c r="AG12" i="1"/>
  <c r="AI12" i="1"/>
  <c r="AG13" i="1"/>
  <c r="AI13" i="1"/>
  <c r="AG14" i="1"/>
  <c r="AI14" i="1"/>
  <c r="AG15" i="1"/>
  <c r="AI15" i="1"/>
  <c r="AI11" i="1"/>
  <c r="AG11" i="1"/>
  <c r="D104" i="1"/>
  <c r="D105" i="1"/>
  <c r="D107" i="1"/>
  <c r="D103" i="1"/>
  <c r="D64" i="1"/>
  <c r="D62" i="1"/>
  <c r="AD42" i="1"/>
  <c r="AC42" i="1"/>
  <c r="AB42" i="1"/>
  <c r="X30" i="1"/>
  <c r="X24" i="1"/>
  <c r="X25" i="1"/>
  <c r="X26" i="1"/>
  <c r="X27" i="1"/>
  <c r="X28" i="1"/>
  <c r="AL103" i="1"/>
  <c r="D43" i="1"/>
  <c r="D48" i="1"/>
  <c r="D49" i="1"/>
  <c r="D50" i="1"/>
  <c r="D52" i="1"/>
  <c r="D54" i="1"/>
  <c r="D56" i="1"/>
  <c r="D70" i="1"/>
  <c r="D86" i="1"/>
  <c r="D88" i="1"/>
  <c r="D91" i="1"/>
  <c r="D93" i="1"/>
  <c r="D42" i="1"/>
  <c r="D12" i="1"/>
  <c r="D13" i="1"/>
  <c r="D14" i="1"/>
  <c r="D15" i="1"/>
  <c r="D18" i="1"/>
  <c r="D19" i="1"/>
  <c r="D20" i="1"/>
  <c r="D23" i="1"/>
  <c r="D24" i="1"/>
  <c r="D25" i="1"/>
  <c r="D26" i="1"/>
  <c r="D27" i="1"/>
  <c r="D28" i="1"/>
  <c r="D30" i="1"/>
  <c r="D11" i="1"/>
  <c r="W103" i="1"/>
  <c r="Y103" i="1" s="1"/>
  <c r="W42" i="1"/>
  <c r="Y42" i="1" s="1"/>
  <c r="BA19" i="1" l="1"/>
  <c r="Q18" i="1" l="1"/>
  <c r="T18" i="1" s="1"/>
  <c r="Q20" i="1"/>
  <c r="S20" i="1" s="1"/>
  <c r="Q19" i="1"/>
  <c r="T19" i="1" s="1"/>
  <c r="S19" i="1" l="1"/>
  <c r="T20" i="1"/>
  <c r="S18" i="1"/>
  <c r="R17" i="1" l="1"/>
  <c r="S17" i="1"/>
  <c r="T17" i="1"/>
  <c r="AT19" i="1" l="1"/>
  <c r="AT18" i="1"/>
  <c r="AS20" i="1"/>
  <c r="AS18" i="1" l="1"/>
  <c r="AT20" i="1"/>
  <c r="AS19" i="1"/>
  <c r="AT17" i="1" l="1"/>
  <c r="AS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B3EDCCE9-88A1-40C8-AF2C-3335B98431AB}">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<sst xmlns="http://schemas.openxmlformats.org/spreadsheetml/2006/main" count="399" uniqueCount="282">
  <si>
    <t>Code</t>
  </si>
  <si>
    <t>Terminology</t>
  </si>
  <si>
    <t>Average Duration Professional</t>
  </si>
  <si>
    <t>Consultations:</t>
  </si>
  <si>
    <t>0109</t>
  </si>
  <si>
    <t>0129</t>
  </si>
  <si>
    <t>Prolonged first/follow-up consultation : 15 min</t>
  </si>
  <si>
    <t>0132</t>
  </si>
  <si>
    <t>Repeat Script</t>
  </si>
  <si>
    <t>0145</t>
  </si>
  <si>
    <t>Consultation : Away from doctor's room</t>
  </si>
  <si>
    <t>0146</t>
  </si>
  <si>
    <t>0147</t>
  </si>
  <si>
    <t>0199</t>
  </si>
  <si>
    <t>Chronic Medicine Forms</t>
  </si>
  <si>
    <t>0113</t>
  </si>
  <si>
    <t>0190</t>
  </si>
  <si>
    <t>0191</t>
  </si>
  <si>
    <t>0192</t>
  </si>
  <si>
    <t>0149</t>
  </si>
  <si>
    <t>0173</t>
  </si>
  <si>
    <t>0174</t>
  </si>
  <si>
    <t>0175</t>
  </si>
  <si>
    <t>Hospital follow-up visit</t>
  </si>
  <si>
    <t>Newborn Attendance - Emergency at all hours</t>
  </si>
  <si>
    <t>Emergency after-hours services(+25%)</t>
  </si>
  <si>
    <t>Procedures</t>
  </si>
  <si>
    <t>0130</t>
  </si>
  <si>
    <t>1206</t>
  </si>
  <si>
    <t>1210</t>
  </si>
  <si>
    <t>1851</t>
  </si>
  <si>
    <t>1205</t>
  </si>
  <si>
    <t>1204</t>
  </si>
  <si>
    <t>1213</t>
  </si>
  <si>
    <t>1653</t>
  </si>
  <si>
    <t>1188</t>
  </si>
  <si>
    <t>1587</t>
  </si>
  <si>
    <t>1186</t>
  </si>
  <si>
    <t>1208</t>
  </si>
  <si>
    <t>1847</t>
  </si>
  <si>
    <t>1252</t>
  </si>
  <si>
    <t>Telephone consultation (all hours)</t>
  </si>
  <si>
    <t>Flow volume test: Inspiration/expiration</t>
  </si>
  <si>
    <t>Intensive care: Category 3 (ICU): Cases with multiple organ failure or Category 2 patients which may require multidisciplinary intervention: First day (primary practitioner)</t>
  </si>
  <si>
    <t>Intensive care: Category 3 (ICU): Cases with multiple organ failure or Category 2 patients which may require multidisciplinary intervention: Subsequent days (per involved practitioner)</t>
  </si>
  <si>
    <t>Ventilation: Subsequent days, per day</t>
  </si>
  <si>
    <t>Electrocardiogram: Without effort</t>
  </si>
  <si>
    <t>Multi-stage treadmill test</t>
  </si>
  <si>
    <t>Upper gastro-intestinal endoscopy: Hospital equipment</t>
  </si>
  <si>
    <t>Total colonoscopy: With hospital equipment (including biopsy)</t>
  </si>
  <si>
    <t>Haemodialysis: Per hour or part thereof</t>
  </si>
  <si>
    <t>Haemodialysis: Thereafter per week</t>
  </si>
  <si>
    <t>Cardiac examination plus Doppler colour mapping</t>
  </si>
  <si>
    <t>Cardiac examination (MMode)</t>
  </si>
  <si>
    <t>Cardiac examination: 2 Dimensional</t>
  </si>
  <si>
    <t>Cardiac examinations + doppler</t>
  </si>
  <si>
    <t xml:space="preserve">Flow volume test: Inspiration/expiration/pre- and post bronchodilator </t>
  </si>
  <si>
    <t>Intensive care: Category 1 (High Care)</t>
  </si>
  <si>
    <t>Intensive care: Category 2 (ICU): Cases requiring active system support  First day</t>
  </si>
  <si>
    <t>Intensive care: Category 2 (ICU): Cases requiring active system support Subsequent days, per day</t>
  </si>
  <si>
    <t>Left heart catheterisation with coronary angiography</t>
  </si>
  <si>
    <t>Ultrasound examination includes whole abdomen and pelvic organs, where pelvic organs are clinically indicated</t>
  </si>
  <si>
    <t>Hospital Consultation</t>
  </si>
  <si>
    <t>Consultation</t>
  </si>
  <si>
    <t>Units</t>
  </si>
  <si>
    <t>R</t>
  </si>
  <si>
    <t>Disclaimer:</t>
  </si>
  <si>
    <t>See the Notes below for All Tariffs</t>
  </si>
  <si>
    <t>Note:</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</si>
  <si>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</si>
  <si>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</si>
  <si>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</si>
  <si>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</si>
  <si>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</si>
  <si>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</si>
  <si>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</si>
  <si>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</si>
  <si>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CAS18</t>
  </si>
  <si>
    <t>HDM1</t>
  </si>
  <si>
    <t>n/a</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</si>
  <si>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</si>
  <si>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</si>
  <si>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</si>
  <si>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</si>
  <si>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</si>
  <si>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</si>
  <si>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</si>
  <si>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</si>
  <si>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</si>
  <si>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</si>
  <si>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</si>
  <si>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</si>
  <si>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</si>
  <si>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</si>
  <si>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</si>
  <si>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</si>
  <si>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</si>
  <si>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Bonitas</t>
  </si>
  <si>
    <t>Discovery</t>
  </si>
  <si>
    <t>Discovery - GP Network</t>
  </si>
  <si>
    <t>FedHealth</t>
  </si>
  <si>
    <t>GEMS (non) - GP</t>
  </si>
  <si>
    <t>GEMS (non) - Paeds</t>
  </si>
  <si>
    <t>GEMS (non) - Gyn</t>
  </si>
  <si>
    <t>GEMS (Con) - GP</t>
  </si>
  <si>
    <t>GEMS (Con) - Paeds</t>
  </si>
  <si>
    <t>GEMS (Con) - Gyn</t>
  </si>
  <si>
    <t>GEMS (Con)
- 17 
-18
- 19
- 20
- 21
- 31</t>
  </si>
  <si>
    <t>GEMS</t>
  </si>
  <si>
    <t>KeyHealth</t>
  </si>
  <si>
    <t>Medihelp</t>
  </si>
  <si>
    <t>ProfMed</t>
  </si>
  <si>
    <t>HealthMan - Specialists</t>
  </si>
  <si>
    <t>HealthMan - Psychiatry</t>
  </si>
  <si>
    <t>HealthMan - GP</t>
  </si>
  <si>
    <t>COMPARATIVE TARIFFS</t>
  </si>
  <si>
    <t>1207</t>
  </si>
  <si>
    <t>1209</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</si>
  <si>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</si>
  <si>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Intensive care: Category 3 (ICU): Cases with multiple organ failure or Category 2 patients which may require multidisciplinary intervention: First day (per involved practitioner)</t>
  </si>
  <si>
    <t>New &amp; Updated Procedures (Coding Changes)</t>
  </si>
  <si>
    <t>Ambulatory continuous glucose monitoring of interstitial tissue fluid via a subcutaneous sensor for a minimum of 72 hours: Includes sensor placement, hook-up, calibration of monitor, patient training, removal of sensor and printout of recording</t>
  </si>
  <si>
    <t>Ambulatory continuous glucose monitoring: Interstitial tissue fluid via a subcutaneous sensor for a minimum of 72 hours (includes interpretation and report)</t>
  </si>
  <si>
    <t>HealthMan</t>
  </si>
  <si>
    <t>BankMed</t>
  </si>
  <si>
    <t>POLMED</t>
  </si>
  <si>
    <t>Other</t>
  </si>
  <si>
    <t>RCF</t>
  </si>
  <si>
    <t>Base 
Rate</t>
  </si>
  <si>
    <t>Base
Rate</t>
  </si>
  <si>
    <t>DPA</t>
  </si>
  <si>
    <t>KeyCare</t>
  </si>
  <si>
    <t>Prem A 
(IH)</t>
  </si>
  <si>
    <t>Prem A 
(OH)</t>
  </si>
  <si>
    <t>Prem B</t>
  </si>
  <si>
    <t>Classic Rate</t>
  </si>
  <si>
    <t>Exec Rate</t>
  </si>
  <si>
    <t>Non-Contracted
RCF</t>
  </si>
  <si>
    <t>Contracted Base Rate</t>
  </si>
  <si>
    <t>Contracted
RCF</t>
  </si>
  <si>
    <t>Base Rate</t>
  </si>
  <si>
    <t>POLMED 
DPA</t>
  </si>
  <si>
    <t>BestMed Base Rate</t>
  </si>
  <si>
    <t>BestMed
RCF</t>
  </si>
  <si>
    <t>Medihelp Base Rate</t>
  </si>
  <si>
    <t>Medihelp RCF</t>
  </si>
  <si>
    <t>Profmed
Base Rate</t>
  </si>
  <si>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</si>
  <si>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</si>
  <si>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r>
      <t xml:space="preserve">Casualty Evaluation Code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</si>
  <si>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</si>
  <si>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(Excl. Executive &amp; Classic Plans)</t>
    </r>
  </si>
  <si>
    <t>99238</t>
  </si>
  <si>
    <t>99239</t>
  </si>
  <si>
    <t>Hospital discharge day Management; 30 Minutes or Less</t>
  </si>
  <si>
    <t>Hospital discharge day Management; more than 30 Minutes</t>
  </si>
  <si>
    <t>0133</t>
  </si>
  <si>
    <t xml:space="preserve">Special motivations for procedures and treatment </t>
  </si>
  <si>
    <t>0148</t>
  </si>
  <si>
    <t>Elective after-hours services(+50%)</t>
  </si>
  <si>
    <r>
      <t xml:space="preserve">Casualty Evaluation Code 
</t>
    </r>
    <r>
      <rPr>
        <i/>
        <sz val="10"/>
        <color theme="5" tint="-0.249977111117893"/>
        <rFont val="Calibri"/>
        <family val="2"/>
        <scheme val="minor"/>
      </rPr>
      <t>(Excl. Executive &amp; Classic Plans)</t>
    </r>
  </si>
  <si>
    <t>9. All Fees marked in "Green" have not been published by the particular Scheme, the tariffs were calculated based on the relvant RCF, e.g. Consulting RCF (please refer to the Disclaimer)</t>
  </si>
  <si>
    <t>Non-Network
Base Rate</t>
  </si>
  <si>
    <t>Non-Network
RCF</t>
  </si>
  <si>
    <t>Unique 
ICU RCF</t>
  </si>
  <si>
    <t>Bonitas - Network</t>
  </si>
  <si>
    <t>BestMed Network</t>
  </si>
  <si>
    <t>Bonitas - non Network</t>
  </si>
  <si>
    <t>Discovery ICU - Non Network</t>
  </si>
  <si>
    <t>Discovery ICU - Network</t>
  </si>
  <si>
    <t xml:space="preserve">10. The new and updated procedure codes were approved by the applicable Mangement Group, Society, SAPPF and SAMA in 2015.  We encourage practitioners to use it. </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</si>
  <si>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</si>
  <si>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</si>
  <si>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</si>
  <si>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</si>
  <si>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</si>
  <si>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</si>
  <si>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</si>
  <si>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0193</t>
  </si>
  <si>
    <t>Functional residual capacity or residual volume: Helium method, nitrogen open circuit method or other method</t>
  </si>
  <si>
    <t>Determination of resistance to airflow, oscillary or plethysmographic methods</t>
  </si>
  <si>
    <t>Carbon monoxide diffusing capacity, any method</t>
  </si>
  <si>
    <t>Ventilation: First day</t>
  </si>
  <si>
    <t>Ventilation: After two weeks, per calendar day</t>
  </si>
  <si>
    <t>Hyperalimentation (per calender day)</t>
  </si>
  <si>
    <t>Professional component for a physician interpreting an ECG: Without effort</t>
  </si>
  <si>
    <t>24-hour ambulatory ECG monitoring (holter): Equipment hire</t>
  </si>
  <si>
    <t>24-hour ambulatory ECG monitoring (holter): Interpretation</t>
  </si>
  <si>
    <t>Full electrophysiological study</t>
  </si>
  <si>
    <t>Accessory pathway ablation</t>
  </si>
  <si>
    <t>Electrophysiological mapping</t>
  </si>
  <si>
    <t>Percutaneous transluminal angioplasty: First cardiologist: Single lesion</t>
  </si>
  <si>
    <t>Insertion of intravascular stent: First cardiologist</t>
  </si>
  <si>
    <t>PLUS polypectomy: ADD to colonoscopy (item 1653 or item 1656): per lesion</t>
  </si>
  <si>
    <t>Acute haemodialysis: First calendar day: Appropriate for haemodialysis in intensive or high care unit (the medical doctor does not have to be present for the duration of the treatment)</t>
  </si>
  <si>
    <t>Continuous haemodialysis per calendar day in intensive or high care unit</t>
  </si>
  <si>
    <t>Bone densitometry (to be coded once only for one or more levels done at the same session)</t>
  </si>
  <si>
    <t>Trans-oesophageal echocardiography including passing the device</t>
  </si>
  <si>
    <t>Plus (+) colour doppler (may be added onto any other regional exam, but not to be added to items 3605, 5110, 5111, 5112, 5113 or 5114)</t>
  </si>
  <si>
    <t>Carotid ultrasound vascular study: B mode, pulsed and colour Doppler; bilateral study, internal, external and common carotid flow and anatomy</t>
  </si>
  <si>
    <t>Full ultrasonic and colour Doppler evaluation of entire extracranial vascular tree: Carotids, vertebral and subclavian vessels (not to be used together with items 5110, 5112, 5113 or 5114)</t>
  </si>
  <si>
    <t>Infusional pharmacotherapy: Item to be used for the treatment of non cancerous conditions with bolus or infusional pharmacotherapy per treatment day (consultations to be coded separately)</t>
  </si>
  <si>
    <t>Non-infusional chemotherapy: Global code for the management of and for related services delivered in the treatment of cancer with oral chemotherapy (per cycle), intramuscular (IMI), subcutaneous, intrathecal or bolus chemotherapy or oncology specific drug administration per treatment day - for exclusive use by doctors with appropriate oncology training (consultations to be coded separately) - (not applicable to oral hormonal therapy)</t>
  </si>
  <si>
    <t>Infusional chemotherapy: Global code for the management of and for services delivered during infusional chemotherapy per treatment day - for exclusive use by doctors with the appropriate oncology training using recognised chemotherapy facilities (consultations items should be added separately)</t>
  </si>
  <si>
    <t>Infusional chemotherapy facility: A facility where oncology medicines are procured, stored, admixed and administered, and in which appropriately-trained medical, nursing and support staff are in attendance. To be used by doctors with the appropriate oncology training who own or rent the facility, and by others, e.g. hospitals or clinics that provide the services as per the appropriate coding structure. These facilities must be accredited under the auspices of the SA Society for Medical Oncology (SASMO) and/or the SA Society of Clinical and Radiation Oncology (SASCRO) (to be used in conjunction with item 5793) - only one of the parties may use this item</t>
  </si>
  <si>
    <t>1232</t>
  </si>
  <si>
    <t>1235</t>
  </si>
  <si>
    <t>3620</t>
  </si>
  <si>
    <t>3621</t>
  </si>
  <si>
    <t>3622</t>
  </si>
  <si>
    <t>3625</t>
  </si>
  <si>
    <t>3627</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</si>
  <si>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</si>
  <si>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</si>
  <si>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</si>
  <si>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</si>
  <si>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</si>
  <si>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</si>
  <si>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</si>
  <si>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</si>
  <si>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</si>
  <si>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</si>
  <si>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</si>
  <si>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</si>
  <si>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</si>
  <si>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</si>
  <si>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</si>
  <si>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</si>
  <si>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</si>
  <si>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</si>
  <si>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</si>
  <si>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</si>
  <si>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</si>
  <si>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</si>
  <si>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</si>
  <si>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</si>
  <si>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</si>
  <si>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</si>
  <si>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</si>
  <si>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</si>
  <si>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Intravenous treatment: Intravenous infusions (push-in) : Insertion of cannula - chargeable once per 24-hours</t>
  </si>
  <si>
    <t>Exchange transfusion: First and subsequent (including aftercare)</t>
  </si>
  <si>
    <t>Thoracic gas volume</t>
  </si>
  <si>
    <t>Insertion of arterial pressure cannula</t>
  </si>
  <si>
    <t>Insertion of central venous line via subclavian or jugular veins</t>
  </si>
  <si>
    <t xml:space="preserve">Effort electrocardiogram with the aid of a special bicycle ergometer, monitoring apparatus and the availability of associated apparatus </t>
  </si>
  <si>
    <t>24-hour ambulatory blood pressure: Equipment hire</t>
  </si>
  <si>
    <t>Cardioversion for arrhythmias (any method) with doctor in attendance</t>
  </si>
  <si>
    <t>Right and left cardiac catheterisation without coronary angiography (with or without biopsy)</t>
  </si>
  <si>
    <t>Right heart catheterisation (with or without biopsy)</t>
  </si>
  <si>
    <t>Pacemaker/pulse generator/neurostimulator: Permanent - dual chamber</t>
  </si>
  <si>
    <t>Threshold testing: Own equipment</t>
  </si>
  <si>
    <t>Programming of atrio-ventricular sequential pacemaker/pulse generator/neurostimulator</t>
  </si>
  <si>
    <t>Insertion of temporary pacemaker (modifier 0005 is not applicable)</t>
  </si>
  <si>
    <t>Percutaneous transluminal angioplasty: Second cardiologist: Single lesion</t>
  </si>
  <si>
    <t>Percutaneous transluminal angioplasty: First cardiologist: Second lesion</t>
  </si>
  <si>
    <t>Percutaneous transluminal angioplasty: First cardiologist: Third or subsequent lesions (each)</t>
  </si>
  <si>
    <t>Atherectomy: Single lesion: First cardiologist</t>
  </si>
  <si>
    <t>Placement of Hickman catheter or similar (including subcutaneous port)</t>
  </si>
  <si>
    <t>Gastrointestinal tract imaging, intraluminal (e.g. video capsule endoscopy): Hire cost (item 0201 applicable for video capsule - disposable single use)</t>
  </si>
  <si>
    <t>Endoscopic Retrograde Cholangiopancreatography (ERCP): Endoscopy + catheterisation of pancreas duct or choledochus</t>
  </si>
  <si>
    <t>Overnight polysomnogram and sleep staging: Equipment hire</t>
  </si>
  <si>
    <t>Overnight continuous positive airways pressure (CPAP) titration</t>
  </si>
  <si>
    <t>Catheterisation aorta or vena cava, any level, any route, with aortogram/cavogram</t>
  </si>
  <si>
    <t>Selective first order catheterisation, arterial or venous, with angiogram/venogram</t>
  </si>
  <si>
    <t>Selective second order catheterisation, arterial or venous, with angiogram/venogram</t>
  </si>
  <si>
    <t>Guiding catheter placement, any site arterial or venous, for any intracranial procedure or arteriovenous malformation (AVM)</t>
  </si>
  <si>
    <t>Microcatheter insertion, any cranial vessel and/or pulmonary vessel, arterial or venous (including guiding catheter placement)</t>
  </si>
  <si>
    <t>Pleural space ultrasound</t>
  </si>
  <si>
    <t>Ultrasound soft tissue, any region</t>
  </si>
  <si>
    <t>Peripheral venous ultrasound vascular study; B mode, pulsed and colour Doppler; to evaluate deep vein thrombosis</t>
  </si>
  <si>
    <t>Diagnostic intravascular ultrasound (IVUS) imaging or wave wire mapping (without accompanying angioplasty)</t>
  </si>
  <si>
    <t>Non-infusional chemotherapy - Facility fee</t>
  </si>
  <si>
    <t>FedHealth - Network</t>
  </si>
  <si>
    <t>Bestmed  Non-network</t>
  </si>
  <si>
    <t>Upper Benchmark
Tariff</t>
  </si>
  <si>
    <t>HEALTHMAN PHYSICIAN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</si>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</sst>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quot;R&quot;* #,##0.00_-;\-&quot;R&quot;* #,##0.00_-;_-&quot;R&quot;* &quot;-&quot;??_-;_-@_-"/>
    <numFmt numFmtId="165" formatCode="_ * #,##0.00_ ;_ * \-#,##0.00_ ;_ * &quot;-&quot;??_ ;_ @_ "/>
    <numFmt numFmtId="166" formatCode="&quot;R&quot;\ #,##0.00"/>
    <numFmt numFmtId="167" formatCode="0.000"/>
    <numFmt numFmtId="168" formatCode="_ * #,##0.000_ ;_ * \-#,##0.000_ ;_ * &quot;-&quot;??_ ;_ @_ "/>
    <numFmt numFmtId="169" formatCode="_(* #,##0.000_);_(* \(#,##0.000\);_(* &quot;-&quot;??_);_(@_)"/>
    <numFmt numFmtId="170" formatCode="[$R-1C09]\ #,##0.00"/>
    <numFmt numFmtId="171" formatCode="_-* #,##0.000_-;\-* #,##0.000_-;_-* &quot;-&quot;???_-;_-@_-"/>
  </numFmts>
  <fonts count="56"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sz val="10"/>
      <color indexed="10"/>
      <name val="Calibri"/>
      <family val="2"/>
      <scheme val="minor"/>
    </font>
    <font>
      <b/>
      <u/>
      <sz val="12"/>
      <name val="Calibri"/>
      <family val="2"/>
      <scheme val="minor"/>
    </font>
    <font>
      <b/>
      <sz val="10"/>
      <name val="Calibri"/>
      <family val="2"/>
      <scheme val="minor"/>
    </font>
    <font>
      <b/>
      <i/>
      <u/>
      <sz val="10"/>
      <name val="Calibri"/>
      <family val="2"/>
      <scheme val="minor"/>
    </font>
    <font>
      <i/>
      <u/>
      <sz val="10"/>
      <name val="Calibri"/>
      <family val="2"/>
      <scheme val="minor"/>
    </font>
    <font>
      <b/>
      <u/>
      <sz val="10"/>
      <name val="Calibri"/>
      <family val="2"/>
      <scheme val="minor"/>
    </font>
    <font>
      <b/>
      <sz val="10"/>
      <color indexed="10"/>
      <name val="Calibri"/>
      <family val="2"/>
      <scheme val="minor"/>
    </font>
    <font>
      <b/>
      <u/>
      <sz val="10"/>
      <color indexed="10"/>
      <name val="Calibri"/>
      <family val="2"/>
      <scheme val="minor"/>
    </font>
    <font>
      <b/>
      <sz val="10"/>
      <color indexed="8"/>
      <name val="Calibri"/>
      <family val="2"/>
      <scheme val="minor"/>
    </font>
    <font>
      <b/>
      <sz val="10"/>
      <color indexed="63"/>
      <name val="Calibri"/>
      <family val="2"/>
      <scheme val="minor"/>
    </font>
    <font>
      <b/>
      <u/>
      <sz val="10"/>
      <color indexed="8"/>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0"/>
      <color theme="5"/>
      <name val="Calibri"/>
      <family val="2"/>
      <scheme val="minor"/>
    </font>
    <font>
      <sz val="10"/>
      <color theme="5"/>
      <name val="Calibri"/>
      <family val="2"/>
      <scheme val="minor"/>
    </font>
    <font>
      <b/>
      <sz val="11"/>
      <color theme="1"/>
      <name val="Calibri"/>
      <family val="2"/>
      <scheme val="minor"/>
    </font>
    <font>
      <sz val="11"/>
      <name val="Calibri"/>
      <family val="2"/>
      <scheme val="minor"/>
    </font>
    <font>
      <b/>
      <sz val="11"/>
      <color theme="5" tint="-0.249977111117893"/>
      <name val="Calibri"/>
      <family val="2"/>
      <scheme val="minor"/>
    </font>
    <font>
      <b/>
      <sz val="10"/>
      <color theme="1"/>
      <name val="Calibri"/>
      <family val="2"/>
      <scheme val="minor"/>
    </font>
    <font>
      <b/>
      <sz val="10"/>
      <color rgb="FF7030A0"/>
      <name val="Calibri"/>
      <family val="2"/>
      <scheme val="minor"/>
    </font>
    <font>
      <b/>
      <i/>
      <sz val="10"/>
      <color rgb="FF00B050"/>
      <name val="Calibri"/>
      <family val="2"/>
      <scheme val="minor"/>
    </font>
    <font>
      <b/>
      <i/>
      <sz val="10"/>
      <color rgb="FF7030A0"/>
      <name val="Calibri"/>
      <family val="2"/>
      <scheme val="minor"/>
    </font>
    <font>
      <sz val="10"/>
      <color theme="5" tint="-0.249977111117893"/>
      <name val="Calibri"/>
      <family val="2"/>
      <scheme val="minor"/>
    </font>
    <font>
      <b/>
      <i/>
      <sz val="10"/>
      <color theme="5" tint="-0.249977111117893"/>
      <name val="Calibri"/>
      <family val="2"/>
      <scheme val="minor"/>
    </font>
    <font>
      <b/>
      <sz val="10"/>
      <color theme="5" tint="-0.249977111117893"/>
      <name val="Calibri"/>
      <family val="2"/>
      <scheme val="minor"/>
    </font>
    <font>
      <i/>
      <sz val="10"/>
      <color theme="5" tint="-0.249977111117893"/>
      <name val="Calibri"/>
      <family val="2"/>
      <scheme val="minor"/>
    </font>
    <font>
      <b/>
      <sz val="10"/>
      <color rgb="FFC00000"/>
      <name val="Calibri"/>
      <family val="2"/>
      <scheme val="minor"/>
    </font>
    <font>
      <sz val="10"/>
      <color rgb="FFC00000"/>
      <name val="Calibri"/>
      <family val="2"/>
      <scheme val="minor"/>
    </font>
    <font>
      <b/>
      <sz val="10"/>
      <color rgb="FF00B050"/>
      <name val="Calibri"/>
      <family val="2"/>
      <scheme val="minor"/>
    </font>
    <font>
      <b/>
      <sz val="11"/>
      <color theme="0"/>
      <name val="Calibri"/>
      <family val="2"/>
      <scheme val="minor"/>
    </font>
    <font>
      <i/>
      <sz val="10"/>
      <color rgb="FFC00000"/>
      <name val="Calibri"/>
      <family val="2"/>
      <scheme val="minor"/>
    </font>
    <font>
      <b/>
      <sz val="10"/>
      <color rgb="FFFF0000"/>
      <name val="Calibri"/>
      <family val="2"/>
      <scheme val="minor"/>
    </font>
    <font>
      <b/>
      <sz val="9"/>
      <color indexed="81"/>
      <name val="Tahoma"/>
      <family val="2"/>
    </font>
    <font>
      <sz val="9"/>
      <color indexed="81"/>
      <name val="Tahoma"/>
      <family val="2"/>
    </font>
    <font>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
      <sz val="10"/>
      <name val="Arial"/>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s>
  <cellStyleXfs count="4">
    <xf numFmtId="0" fontId="0" fillId="0" borderId="0"/>
    <xf numFmtId="165" fontId="2" fillId="0" borderId="0" applyFont="0" applyFill="0" applyBorder="0" applyAlignment="0" applyProtection="0"/>
    <xf numFmtId="9" fontId="2" fillId="0" borderId="0" applyFont="0" applyFill="0" applyBorder="0" applyAlignment="0" applyProtection="0"/>
    <xf numFmtId="164" fontId="55" fillId="0" borderId="0" applyFont="0" applyFill="0" applyBorder="0" applyAlignment="0" applyProtection="0"/>
  </cellStyleXfs>
  <cellXfs count="355">
    <xf numFmtId="0" fontId="0" fillId="0" borderId="0" xfId="0"/>
    <xf numFmtId="0" fontId="3" fillId="3" borderId="2" xfId="0" applyFont="1" applyFill="1" applyBorder="1" applyProtection="1">
      <protection hidden="1"/>
    </xf>
    <xf numFmtId="0" fontId="3" fillId="3" borderId="3" xfId="0" applyFont="1" applyFill="1" applyBorder="1" applyProtection="1">
      <protection hidden="1"/>
    </xf>
    <xf numFmtId="0" fontId="3" fillId="3" borderId="4" xfId="0" applyFont="1" applyFill="1" applyBorder="1" applyProtection="1">
      <protection hidden="1"/>
    </xf>
    <xf numFmtId="0" fontId="4" fillId="2" borderId="0" xfId="0" applyFont="1" applyFill="1" applyProtection="1">
      <protection hidden="1"/>
    </xf>
    <xf numFmtId="165" fontId="6" fillId="2" borderId="0" xfId="1" applyFont="1" applyFill="1" applyBorder="1" applyProtection="1">
      <protection hidden="1"/>
    </xf>
    <xf numFmtId="167" fontId="6" fillId="2" borderId="0" xfId="0" applyNumberFormat="1" applyFont="1" applyFill="1" applyProtection="1">
      <protection hidden="1"/>
    </xf>
    <xf numFmtId="168" fontId="6" fillId="2" borderId="0" xfId="1" applyNumberFormat="1" applyFont="1" applyFill="1" applyBorder="1" applyProtection="1">
      <protection hidden="1"/>
    </xf>
    <xf numFmtId="2" fontId="6" fillId="2" borderId="0" xfId="0" applyNumberFormat="1" applyFont="1" applyFill="1" applyProtection="1">
      <protection hidden="1"/>
    </xf>
    <xf numFmtId="0" fontId="6" fillId="2" borderId="0" xfId="0" applyFont="1" applyFill="1" applyProtection="1">
      <protection hidden="1"/>
    </xf>
    <xf numFmtId="49" fontId="8" fillId="4" borderId="1" xfId="0" applyNumberFormat="1" applyFont="1" applyFill="1" applyBorder="1" applyAlignment="1" applyProtection="1">
      <alignment horizontal="center"/>
      <protection hidden="1"/>
    </xf>
    <xf numFmtId="0" fontId="8" fillId="2" borderId="4" xfId="0" applyFont="1" applyFill="1" applyBorder="1" applyAlignment="1" applyProtection="1">
      <alignment horizontal="center" wrapText="1"/>
      <protection hidden="1"/>
    </xf>
    <xf numFmtId="165" fontId="8" fillId="4" borderId="1" xfId="1" applyFont="1" applyFill="1" applyBorder="1" applyAlignment="1" applyProtection="1">
      <alignment horizontal="center" wrapText="1"/>
      <protection hidden="1"/>
    </xf>
    <xf numFmtId="168" fontId="8" fillId="4" borderId="1" xfId="1" applyNumberFormat="1" applyFont="1" applyFill="1" applyBorder="1" applyAlignment="1" applyProtection="1">
      <alignment horizontal="center" wrapText="1"/>
      <protection hidden="1"/>
    </xf>
    <xf numFmtId="49" fontId="8" fillId="2" borderId="7" xfId="0" applyNumberFormat="1" applyFont="1" applyFill="1" applyBorder="1" applyAlignment="1" applyProtection="1">
      <alignment horizontal="center"/>
      <protection hidden="1"/>
    </xf>
    <xf numFmtId="0" fontId="8" fillId="2" borderId="0" xfId="0" applyFont="1" applyFill="1" applyAlignment="1" applyProtection="1">
      <alignment horizontal="center"/>
      <protection hidden="1"/>
    </xf>
    <xf numFmtId="165" fontId="8" fillId="5" borderId="1" xfId="1" applyFont="1" applyFill="1" applyBorder="1" applyAlignment="1" applyProtection="1">
      <alignment horizontal="center" wrapText="1"/>
      <protection hidden="1"/>
    </xf>
    <xf numFmtId="168" fontId="8" fillId="5" borderId="1" xfId="1" applyNumberFormat="1" applyFont="1" applyFill="1" applyBorder="1" applyAlignment="1" applyProtection="1">
      <alignment wrapText="1"/>
      <protection hidden="1"/>
    </xf>
    <xf numFmtId="168" fontId="8" fillId="5" borderId="1" xfId="1" applyNumberFormat="1" applyFont="1" applyFill="1" applyBorder="1" applyAlignment="1" applyProtection="1">
      <alignment horizontal="center" wrapText="1"/>
      <protection hidden="1"/>
    </xf>
    <xf numFmtId="9" fontId="8" fillId="5" borderId="1" xfId="0" applyNumberFormat="1" applyFont="1" applyFill="1" applyBorder="1" applyAlignment="1" applyProtection="1">
      <alignment horizontal="center" wrapText="1"/>
      <protection hidden="1"/>
    </xf>
    <xf numFmtId="9" fontId="8" fillId="5" borderId="1" xfId="2" applyFont="1" applyFill="1" applyBorder="1" applyAlignment="1" applyProtection="1">
      <alignment horizontal="center" wrapText="1"/>
      <protection hidden="1"/>
    </xf>
    <xf numFmtId="49" fontId="9" fillId="2" borderId="7" xfId="0" applyNumberFormat="1" applyFont="1" applyFill="1" applyBorder="1" applyAlignment="1" applyProtection="1">
      <alignment horizontal="center"/>
      <protection hidden="1"/>
    </xf>
    <xf numFmtId="0" fontId="9" fillId="2" borderId="0" xfId="0" applyFont="1" applyFill="1" applyAlignment="1" applyProtection="1">
      <alignment horizontal="center"/>
      <protection hidden="1"/>
    </xf>
    <xf numFmtId="0" fontId="10" fillId="2" borderId="0" xfId="0" applyFont="1" applyFill="1" applyProtection="1">
      <protection hidden="1"/>
    </xf>
    <xf numFmtId="49" fontId="8" fillId="3" borderId="2" xfId="0" applyNumberFormat="1" applyFont="1" applyFill="1" applyBorder="1" applyAlignment="1" applyProtection="1">
      <alignment horizontal="center"/>
      <protection hidden="1"/>
    </xf>
    <xf numFmtId="0" fontId="11" fillId="3" borderId="3" xfId="0" applyFont="1" applyFill="1" applyBorder="1" applyAlignment="1" applyProtection="1">
      <alignment horizontal="left" wrapText="1"/>
      <protection hidden="1"/>
    </xf>
    <xf numFmtId="0" fontId="4" fillId="3" borderId="3" xfId="1" applyNumberFormat="1" applyFont="1" applyFill="1" applyBorder="1" applyProtection="1">
      <protection hidden="1"/>
    </xf>
    <xf numFmtId="165" fontId="4" fillId="3" borderId="3" xfId="1" applyFont="1" applyFill="1" applyBorder="1" applyProtection="1">
      <protection hidden="1"/>
    </xf>
    <xf numFmtId="168" fontId="4" fillId="3" borderId="3" xfId="1" applyNumberFormat="1" applyFont="1" applyFill="1" applyBorder="1" applyProtection="1">
      <protection hidden="1"/>
    </xf>
    <xf numFmtId="165" fontId="8" fillId="3" borderId="3" xfId="1" applyFont="1" applyFill="1" applyBorder="1" applyProtection="1">
      <protection hidden="1"/>
    </xf>
    <xf numFmtId="9" fontId="8" fillId="3" borderId="3" xfId="0" applyNumberFormat="1" applyFont="1" applyFill="1" applyBorder="1" applyProtection="1">
      <protection hidden="1"/>
    </xf>
    <xf numFmtId="0" fontId="8" fillId="3" borderId="3" xfId="0" applyFont="1" applyFill="1" applyBorder="1" applyProtection="1">
      <protection hidden="1"/>
    </xf>
    <xf numFmtId="165" fontId="4" fillId="3" borderId="4" xfId="1" applyFont="1" applyFill="1" applyBorder="1" applyProtection="1">
      <protection hidden="1"/>
    </xf>
    <xf numFmtId="165" fontId="12" fillId="2" borderId="19" xfId="1" applyFont="1" applyFill="1" applyBorder="1" applyProtection="1">
      <protection hidden="1"/>
    </xf>
    <xf numFmtId="165" fontId="8" fillId="2" borderId="19" xfId="1" applyFont="1" applyFill="1" applyBorder="1" applyProtection="1">
      <protection hidden="1"/>
    </xf>
    <xf numFmtId="49" fontId="12" fillId="2" borderId="9" xfId="0" applyNumberFormat="1" applyFont="1" applyFill="1" applyBorder="1" applyAlignment="1" applyProtection="1">
      <alignment horizontal="center"/>
      <protection hidden="1"/>
    </xf>
    <xf numFmtId="0" fontId="13" fillId="2" borderId="17" xfId="0" applyFont="1" applyFill="1" applyBorder="1" applyAlignment="1" applyProtection="1">
      <alignment horizontal="left"/>
      <protection hidden="1"/>
    </xf>
    <xf numFmtId="0" fontId="6" fillId="2" borderId="20" xfId="0" applyFont="1" applyFill="1" applyBorder="1" applyProtection="1">
      <protection hidden="1"/>
    </xf>
    <xf numFmtId="165" fontId="6" fillId="2" borderId="20" xfId="1" applyFont="1" applyFill="1" applyBorder="1" applyProtection="1">
      <protection hidden="1"/>
    </xf>
    <xf numFmtId="167" fontId="8" fillId="2" borderId="20" xfId="0" applyNumberFormat="1" applyFont="1" applyFill="1" applyBorder="1" applyProtection="1">
      <protection hidden="1"/>
    </xf>
    <xf numFmtId="165" fontId="12" fillId="2" borderId="20" xfId="1" applyFont="1" applyFill="1" applyBorder="1" applyProtection="1">
      <protection hidden="1"/>
    </xf>
    <xf numFmtId="168" fontId="6" fillId="2" borderId="20" xfId="1" applyNumberFormat="1" applyFont="1" applyFill="1" applyBorder="1" applyProtection="1">
      <protection hidden="1"/>
    </xf>
    <xf numFmtId="165" fontId="8" fillId="2" borderId="20" xfId="1" applyFont="1" applyFill="1" applyBorder="1" applyProtection="1">
      <protection hidden="1"/>
    </xf>
    <xf numFmtId="168" fontId="8" fillId="2" borderId="20" xfId="1" applyNumberFormat="1" applyFont="1" applyFill="1" applyBorder="1" applyProtection="1">
      <protection hidden="1"/>
    </xf>
    <xf numFmtId="49" fontId="14" fillId="2" borderId="9" xfId="0" applyNumberFormat="1" applyFont="1" applyFill="1" applyBorder="1" applyProtection="1">
      <protection hidden="1"/>
    </xf>
    <xf numFmtId="0" fontId="8" fillId="2" borderId="17" xfId="0" applyFont="1" applyFill="1" applyBorder="1" applyProtection="1">
      <protection hidden="1"/>
    </xf>
    <xf numFmtId="0" fontId="8" fillId="2" borderId="20" xfId="1" applyNumberFormat="1" applyFont="1" applyFill="1" applyBorder="1" applyProtection="1">
      <protection hidden="1"/>
    </xf>
    <xf numFmtId="49" fontId="8" fillId="2" borderId="9" xfId="0" applyNumberFormat="1" applyFont="1" applyFill="1" applyBorder="1" applyAlignment="1" applyProtection="1">
      <alignment horizontal="left"/>
      <protection hidden="1"/>
    </xf>
    <xf numFmtId="0" fontId="15" fillId="2" borderId="17" xfId="0" applyFont="1" applyFill="1" applyBorder="1" applyAlignment="1" applyProtection="1">
      <alignment wrapText="1"/>
      <protection hidden="1"/>
    </xf>
    <xf numFmtId="0" fontId="14" fillId="2" borderId="17" xfId="0" applyFont="1" applyFill="1" applyBorder="1" applyProtection="1">
      <protection hidden="1"/>
    </xf>
    <xf numFmtId="49" fontId="8" fillId="2" borderId="10" xfId="0" applyNumberFormat="1" applyFont="1" applyFill="1" applyBorder="1" applyProtection="1">
      <protection hidden="1"/>
    </xf>
    <xf numFmtId="0" fontId="14" fillId="2" borderId="18" xfId="0" applyFont="1" applyFill="1" applyBorder="1" applyProtection="1">
      <protection hidden="1"/>
    </xf>
    <xf numFmtId="0" fontId="8" fillId="2" borderId="21" xfId="1" applyNumberFormat="1" applyFont="1" applyFill="1" applyBorder="1" applyProtection="1">
      <protection hidden="1"/>
    </xf>
    <xf numFmtId="165" fontId="12" fillId="2" borderId="21" xfId="1" applyFont="1" applyFill="1" applyBorder="1" applyProtection="1">
      <protection hidden="1"/>
    </xf>
    <xf numFmtId="167" fontId="12" fillId="2" borderId="21" xfId="0" applyNumberFormat="1" applyFont="1" applyFill="1" applyBorder="1" applyProtection="1">
      <protection hidden="1"/>
    </xf>
    <xf numFmtId="168" fontId="12" fillId="2" borderId="21" xfId="1" applyNumberFormat="1" applyFont="1" applyFill="1" applyBorder="1" applyProtection="1">
      <protection hidden="1"/>
    </xf>
    <xf numFmtId="166" fontId="12" fillId="2" borderId="21" xfId="0" applyNumberFormat="1" applyFont="1" applyFill="1" applyBorder="1" applyProtection="1">
      <protection hidden="1"/>
    </xf>
    <xf numFmtId="165" fontId="8" fillId="2" borderId="21" xfId="1" applyFont="1" applyFill="1" applyBorder="1" applyProtection="1">
      <protection hidden="1"/>
    </xf>
    <xf numFmtId="168" fontId="8" fillId="2" borderId="21" xfId="1" applyNumberFormat="1" applyFont="1" applyFill="1" applyBorder="1" applyProtection="1">
      <protection hidden="1"/>
    </xf>
    <xf numFmtId="49" fontId="8" fillId="2" borderId="8" xfId="0" applyNumberFormat="1" applyFont="1" applyFill="1" applyBorder="1" applyProtection="1">
      <protection hidden="1"/>
    </xf>
    <xf numFmtId="0" fontId="16" fillId="2" borderId="16" xfId="0" applyFont="1" applyFill="1" applyBorder="1" applyProtection="1">
      <protection hidden="1"/>
    </xf>
    <xf numFmtId="0" fontId="14" fillId="2" borderId="19" xfId="0" applyFont="1" applyFill="1" applyBorder="1" applyProtection="1">
      <protection hidden="1"/>
    </xf>
    <xf numFmtId="167" fontId="12" fillId="2" borderId="19" xfId="0" applyNumberFormat="1" applyFont="1" applyFill="1" applyBorder="1" applyProtection="1">
      <protection hidden="1"/>
    </xf>
    <xf numFmtId="168" fontId="12" fillId="2" borderId="19" xfId="1" applyNumberFormat="1" applyFont="1" applyFill="1" applyBorder="1" applyProtection="1">
      <protection hidden="1"/>
    </xf>
    <xf numFmtId="166" fontId="12" fillId="2" borderId="19" xfId="0" applyNumberFormat="1" applyFont="1" applyFill="1" applyBorder="1" applyProtection="1">
      <protection hidden="1"/>
    </xf>
    <xf numFmtId="168" fontId="8" fillId="2" borderId="19" xfId="1" applyNumberFormat="1" applyFont="1" applyFill="1" applyBorder="1" applyProtection="1">
      <protection hidden="1"/>
    </xf>
    <xf numFmtId="49" fontId="8" fillId="2" borderId="9" xfId="0" applyNumberFormat="1" applyFont="1" applyFill="1" applyBorder="1" applyProtection="1">
      <protection hidden="1"/>
    </xf>
    <xf numFmtId="0" fontId="8" fillId="2" borderId="0" xfId="0" applyFont="1" applyFill="1" applyProtection="1">
      <protection hidden="1"/>
    </xf>
    <xf numFmtId="0" fontId="8" fillId="2" borderId="17" xfId="0" applyFont="1" applyFill="1" applyBorder="1" applyAlignment="1" applyProtection="1">
      <alignment wrapText="1"/>
      <protection hidden="1"/>
    </xf>
    <xf numFmtId="49" fontId="17" fillId="2" borderId="9" xfId="0" applyNumberFormat="1" applyFont="1" applyFill="1" applyBorder="1" applyProtection="1">
      <protection hidden="1"/>
    </xf>
    <xf numFmtId="165" fontId="17" fillId="2" borderId="20" xfId="1" applyFont="1" applyFill="1" applyBorder="1" applyProtection="1">
      <protection hidden="1"/>
    </xf>
    <xf numFmtId="167" fontId="17" fillId="2" borderId="20" xfId="0" applyNumberFormat="1" applyFont="1" applyFill="1" applyBorder="1" applyProtection="1">
      <protection hidden="1"/>
    </xf>
    <xf numFmtId="0" fontId="4" fillId="2" borderId="10" xfId="0" applyFont="1" applyFill="1" applyBorder="1" applyProtection="1">
      <protection hidden="1"/>
    </xf>
    <xf numFmtId="0" fontId="4" fillId="2" borderId="18" xfId="0" applyFont="1" applyFill="1" applyBorder="1" applyProtection="1">
      <protection hidden="1"/>
    </xf>
    <xf numFmtId="0" fontId="4" fillId="2" borderId="21" xfId="0" applyFont="1" applyFill="1" applyBorder="1" applyProtection="1">
      <protection hidden="1"/>
    </xf>
    <xf numFmtId="165" fontId="6" fillId="2" borderId="21" xfId="1" applyFont="1" applyFill="1" applyBorder="1" applyProtection="1">
      <protection hidden="1"/>
    </xf>
    <xf numFmtId="167" fontId="6" fillId="2" borderId="21" xfId="0" applyNumberFormat="1" applyFont="1" applyFill="1" applyBorder="1" applyProtection="1">
      <protection hidden="1"/>
    </xf>
    <xf numFmtId="168" fontId="6" fillId="2" borderId="21" xfId="1" applyNumberFormat="1" applyFont="1" applyFill="1" applyBorder="1" applyProtection="1">
      <protection hidden="1"/>
    </xf>
    <xf numFmtId="0" fontId="6" fillId="2" borderId="21" xfId="0" applyFont="1" applyFill="1" applyBorder="1" applyProtection="1">
      <protection hidden="1"/>
    </xf>
    <xf numFmtId="0" fontId="4" fillId="2" borderId="11" xfId="0" applyFont="1" applyFill="1" applyBorder="1" applyAlignment="1" applyProtection="1">
      <alignment wrapText="1"/>
      <protection hidden="1"/>
    </xf>
    <xf numFmtId="0" fontId="4" fillId="2" borderId="11" xfId="1" applyNumberFormat="1" applyFont="1" applyFill="1" applyBorder="1" applyAlignment="1" applyProtection="1">
      <alignment wrapText="1"/>
      <protection hidden="1"/>
    </xf>
    <xf numFmtId="165" fontId="4" fillId="2" borderId="11" xfId="1" applyFont="1" applyFill="1" applyBorder="1" applyAlignment="1" applyProtection="1">
      <alignment wrapText="1"/>
      <protection hidden="1"/>
    </xf>
    <xf numFmtId="168" fontId="4" fillId="2" borderId="11" xfId="1" applyNumberFormat="1" applyFont="1" applyFill="1" applyBorder="1" applyAlignment="1" applyProtection="1">
      <alignment wrapText="1"/>
      <protection hidden="1"/>
    </xf>
    <xf numFmtId="168" fontId="4" fillId="2" borderId="12" xfId="1" applyNumberFormat="1" applyFont="1" applyFill="1" applyBorder="1" applyAlignment="1" applyProtection="1">
      <alignment wrapText="1"/>
      <protection hidden="1"/>
    </xf>
    <xf numFmtId="165" fontId="4" fillId="2" borderId="0" xfId="1" applyFont="1" applyFill="1" applyBorder="1" applyAlignment="1" applyProtection="1">
      <alignment wrapText="1"/>
      <protection hidden="1"/>
    </xf>
    <xf numFmtId="168" fontId="4" fillId="2" borderId="0" xfId="1" applyNumberFormat="1" applyFont="1" applyFill="1" applyBorder="1" applyAlignment="1" applyProtection="1">
      <alignment wrapText="1"/>
      <protection hidden="1"/>
    </xf>
    <xf numFmtId="168" fontId="4" fillId="2" borderId="5" xfId="1" applyNumberFormat="1" applyFont="1" applyFill="1" applyBorder="1" applyAlignment="1" applyProtection="1">
      <alignment wrapText="1"/>
      <protection hidden="1"/>
    </xf>
    <xf numFmtId="165" fontId="20" fillId="2" borderId="0" xfId="1" applyFont="1" applyFill="1" applyBorder="1" applyAlignment="1" applyProtection="1">
      <alignment wrapText="1"/>
      <protection hidden="1"/>
    </xf>
    <xf numFmtId="168" fontId="20" fillId="2" borderId="0" xfId="1" applyNumberFormat="1" applyFont="1" applyFill="1" applyBorder="1" applyAlignment="1" applyProtection="1">
      <alignment wrapText="1"/>
      <protection hidden="1"/>
    </xf>
    <xf numFmtId="168" fontId="20" fillId="2" borderId="5" xfId="1" applyNumberFormat="1" applyFont="1" applyFill="1" applyBorder="1" applyAlignment="1" applyProtection="1">
      <alignment wrapText="1"/>
      <protection hidden="1"/>
    </xf>
    <xf numFmtId="0" fontId="9" fillId="4" borderId="13" xfId="0" applyFont="1" applyFill="1" applyBorder="1" applyProtection="1">
      <protection hidden="1"/>
    </xf>
    <xf numFmtId="0" fontId="4" fillId="4" borderId="11" xfId="0" applyFont="1" applyFill="1" applyBorder="1" applyAlignment="1" applyProtection="1">
      <alignment wrapText="1"/>
      <protection hidden="1"/>
    </xf>
    <xf numFmtId="0" fontId="4" fillId="4" borderId="11" xfId="1" applyNumberFormat="1" applyFont="1" applyFill="1" applyBorder="1" applyAlignment="1" applyProtection="1">
      <alignment wrapText="1"/>
      <protection hidden="1"/>
    </xf>
    <xf numFmtId="165" fontId="4" fillId="4" borderId="11" xfId="1" applyFont="1" applyFill="1" applyBorder="1" applyAlignment="1" applyProtection="1">
      <alignment wrapText="1"/>
      <protection hidden="1"/>
    </xf>
    <xf numFmtId="168" fontId="4" fillId="4" borderId="11" xfId="1" applyNumberFormat="1" applyFont="1" applyFill="1" applyBorder="1" applyAlignment="1" applyProtection="1">
      <alignment wrapText="1"/>
      <protection hidden="1"/>
    </xf>
    <xf numFmtId="168" fontId="4" fillId="4" borderId="12" xfId="1" applyNumberFormat="1" applyFont="1" applyFill="1" applyBorder="1" applyAlignment="1" applyProtection="1">
      <alignment wrapText="1"/>
      <protection hidden="1"/>
    </xf>
    <xf numFmtId="0" fontId="21" fillId="4" borderId="5" xfId="0" applyFont="1" applyFill="1" applyBorder="1" applyAlignment="1" applyProtection="1">
      <alignment wrapText="1"/>
      <protection hidden="1"/>
    </xf>
    <xf numFmtId="0" fontId="4" fillId="4" borderId="14" xfId="0" applyFont="1" applyFill="1" applyBorder="1" applyProtection="1">
      <protection hidden="1"/>
    </xf>
    <xf numFmtId="0" fontId="4" fillId="4" borderId="6" xfId="0" applyFont="1" applyFill="1" applyBorder="1" applyAlignment="1" applyProtection="1">
      <alignment wrapText="1"/>
      <protection hidden="1"/>
    </xf>
    <xf numFmtId="0" fontId="4" fillId="4" borderId="6" xfId="1" applyNumberFormat="1" applyFont="1" applyFill="1" applyBorder="1" applyAlignment="1" applyProtection="1">
      <alignment wrapText="1"/>
      <protection hidden="1"/>
    </xf>
    <xf numFmtId="165" fontId="4" fillId="4" borderId="6" xfId="1" applyFont="1" applyFill="1" applyBorder="1" applyAlignment="1" applyProtection="1">
      <alignment wrapText="1"/>
      <protection hidden="1"/>
    </xf>
    <xf numFmtId="168" fontId="4" fillId="4" borderId="6" xfId="1" applyNumberFormat="1" applyFont="1" applyFill="1" applyBorder="1" applyAlignment="1" applyProtection="1">
      <alignment wrapText="1"/>
      <protection hidden="1"/>
    </xf>
    <xf numFmtId="168" fontId="4" fillId="4" borderId="15" xfId="1" applyNumberFormat="1" applyFont="1" applyFill="1" applyBorder="1" applyAlignment="1" applyProtection="1">
      <alignment wrapText="1"/>
      <protection hidden="1"/>
    </xf>
    <xf numFmtId="165" fontId="22" fillId="2" borderId="24" xfId="1" applyFont="1" applyFill="1" applyBorder="1" applyProtection="1">
      <protection hidden="1"/>
    </xf>
    <xf numFmtId="0" fontId="23" fillId="2" borderId="0" xfId="0" applyFont="1" applyFill="1" applyProtection="1">
      <protection hidden="1"/>
    </xf>
    <xf numFmtId="165" fontId="21" fillId="4" borderId="0" xfId="1" applyFont="1" applyFill="1" applyBorder="1" applyAlignment="1" applyProtection="1">
      <alignment wrapText="1"/>
      <protection hidden="1"/>
    </xf>
    <xf numFmtId="165" fontId="8" fillId="5" borderId="1" xfId="1" applyFont="1" applyFill="1" applyBorder="1" applyAlignment="1" applyProtection="1">
      <alignment wrapText="1"/>
      <protection hidden="1"/>
    </xf>
    <xf numFmtId="168" fontId="8" fillId="6" borderId="20" xfId="1" applyNumberFormat="1" applyFont="1" applyFill="1" applyBorder="1" applyProtection="1">
      <protection hidden="1"/>
    </xf>
    <xf numFmtId="9" fontId="12" fillId="6" borderId="20" xfId="0" applyNumberFormat="1" applyFont="1" applyFill="1" applyBorder="1" applyProtection="1">
      <protection hidden="1"/>
    </xf>
    <xf numFmtId="0" fontId="12" fillId="6" borderId="20" xfId="0" applyFont="1" applyFill="1" applyBorder="1" applyProtection="1">
      <protection hidden="1"/>
    </xf>
    <xf numFmtId="165" fontId="8" fillId="6" borderId="20" xfId="1" applyFont="1" applyFill="1" applyBorder="1" applyProtection="1">
      <protection hidden="1"/>
    </xf>
    <xf numFmtId="165" fontId="8" fillId="6" borderId="20" xfId="0" applyNumberFormat="1" applyFont="1" applyFill="1" applyBorder="1" applyProtection="1">
      <protection hidden="1"/>
    </xf>
    <xf numFmtId="165" fontId="22" fillId="6" borderId="24" xfId="1" applyFont="1" applyFill="1" applyBorder="1" applyProtection="1">
      <protection hidden="1"/>
    </xf>
    <xf numFmtId="165" fontId="22" fillId="6" borderId="24" xfId="1" applyFont="1" applyFill="1" applyBorder="1" applyAlignment="1" applyProtection="1">
      <alignment horizontal="center"/>
      <protection hidden="1"/>
    </xf>
    <xf numFmtId="168" fontId="8" fillId="6" borderId="21" xfId="1" applyNumberFormat="1" applyFont="1" applyFill="1" applyBorder="1" applyProtection="1">
      <protection hidden="1"/>
    </xf>
    <xf numFmtId="165" fontId="12" fillId="6" borderId="21" xfId="0" applyNumberFormat="1" applyFont="1" applyFill="1" applyBorder="1" applyProtection="1">
      <protection hidden="1"/>
    </xf>
    <xf numFmtId="165" fontId="12" fillId="6" borderId="21" xfId="1" applyFont="1" applyFill="1" applyBorder="1" applyProtection="1">
      <protection hidden="1"/>
    </xf>
    <xf numFmtId="168" fontId="8" fillId="6" borderId="19" xfId="1" applyNumberFormat="1" applyFont="1" applyFill="1" applyBorder="1" applyProtection="1">
      <protection hidden="1"/>
    </xf>
    <xf numFmtId="165" fontId="12" fillId="6" borderId="19" xfId="0" applyNumberFormat="1" applyFont="1" applyFill="1" applyBorder="1" applyProtection="1">
      <protection hidden="1"/>
    </xf>
    <xf numFmtId="165" fontId="12" fillId="6" borderId="19" xfId="1" applyFont="1" applyFill="1" applyBorder="1" applyProtection="1">
      <protection hidden="1"/>
    </xf>
    <xf numFmtId="0" fontId="6" fillId="6" borderId="21" xfId="0" applyFont="1" applyFill="1" applyBorder="1" applyProtection="1">
      <protection hidden="1"/>
    </xf>
    <xf numFmtId="165" fontId="6" fillId="6" borderId="21" xfId="1" applyFont="1" applyFill="1" applyBorder="1" applyProtection="1">
      <protection hidden="1"/>
    </xf>
    <xf numFmtId="165" fontId="3" fillId="3" borderId="3" xfId="1" applyFont="1" applyFill="1" applyBorder="1" applyAlignment="1" applyProtection="1">
      <protection hidden="1"/>
    </xf>
    <xf numFmtId="167" fontId="8" fillId="0" borderId="20" xfId="0" applyNumberFormat="1" applyFont="1" applyBorder="1" applyProtection="1">
      <protection hidden="1"/>
    </xf>
    <xf numFmtId="165" fontId="8" fillId="0" borderId="20" xfId="1" applyFont="1" applyFill="1" applyBorder="1" applyProtection="1">
      <protection hidden="1"/>
    </xf>
    <xf numFmtId="168" fontId="8" fillId="0" borderId="20" xfId="1" applyNumberFormat="1" applyFont="1" applyFill="1" applyBorder="1" applyProtection="1">
      <protection hidden="1"/>
    </xf>
    <xf numFmtId="0" fontId="8" fillId="4" borderId="1" xfId="1" applyNumberFormat="1" applyFont="1" applyFill="1" applyBorder="1" applyAlignment="1" applyProtection="1">
      <alignment horizontal="center" wrapText="1"/>
      <protection hidden="1"/>
    </xf>
    <xf numFmtId="0" fontId="8" fillId="5" borderId="1" xfId="1" applyNumberFormat="1" applyFont="1" applyFill="1" applyBorder="1" applyAlignment="1" applyProtection="1">
      <alignment horizontal="center" wrapText="1"/>
      <protection hidden="1"/>
    </xf>
    <xf numFmtId="49" fontId="8" fillId="0" borderId="9" xfId="0" applyNumberFormat="1" applyFont="1" applyBorder="1" applyProtection="1">
      <protection hidden="1"/>
    </xf>
    <xf numFmtId="0" fontId="8" fillId="0" borderId="17" xfId="0" applyFont="1" applyBorder="1" applyAlignment="1" applyProtection="1">
      <alignment wrapText="1"/>
      <protection hidden="1"/>
    </xf>
    <xf numFmtId="0" fontId="8" fillId="0" borderId="20" xfId="1" applyNumberFormat="1" applyFont="1" applyFill="1" applyBorder="1" applyProtection="1">
      <protection hidden="1"/>
    </xf>
    <xf numFmtId="168" fontId="4" fillId="3" borderId="4" xfId="1" applyNumberFormat="1" applyFont="1" applyFill="1" applyBorder="1" applyProtection="1">
      <protection hidden="1"/>
    </xf>
    <xf numFmtId="0" fontId="16" fillId="2" borderId="16" xfId="0" applyFont="1" applyFill="1" applyBorder="1" applyAlignment="1" applyProtection="1">
      <alignment wrapText="1"/>
      <protection hidden="1"/>
    </xf>
    <xf numFmtId="165" fontId="14" fillId="2" borderId="19" xfId="1" applyFont="1" applyFill="1" applyBorder="1" applyProtection="1">
      <protection hidden="1"/>
    </xf>
    <xf numFmtId="0" fontId="7" fillId="3" borderId="6" xfId="0" applyFont="1" applyFill="1" applyBorder="1" applyProtection="1">
      <protection hidden="1"/>
    </xf>
    <xf numFmtId="165" fontId="7" fillId="3" borderId="6" xfId="1" applyFont="1" applyFill="1" applyBorder="1" applyAlignment="1" applyProtection="1">
      <protection hidden="1"/>
    </xf>
    <xf numFmtId="0" fontId="7" fillId="3" borderId="15" xfId="0" applyFont="1" applyFill="1" applyBorder="1" applyProtection="1">
      <protection hidden="1"/>
    </xf>
    <xf numFmtId="0" fontId="7" fillId="3" borderId="6" xfId="0" applyFont="1" applyFill="1" applyBorder="1" applyAlignment="1" applyProtection="1">
      <alignment horizontal="center" wrapText="1"/>
      <protection hidden="1"/>
    </xf>
    <xf numFmtId="0" fontId="8" fillId="4" borderId="1" xfId="0" applyFont="1" applyFill="1" applyBorder="1" applyAlignment="1" applyProtection="1">
      <alignment horizontal="center" wrapText="1"/>
      <protection hidden="1"/>
    </xf>
    <xf numFmtId="165" fontId="9" fillId="4" borderId="25" xfId="1" applyFont="1" applyFill="1" applyBorder="1" applyAlignment="1" applyProtection="1">
      <alignment horizontal="center" wrapText="1"/>
      <protection hidden="1"/>
    </xf>
    <xf numFmtId="168" fontId="9" fillId="4" borderId="25" xfId="1" applyNumberFormat="1" applyFont="1" applyFill="1" applyBorder="1" applyAlignment="1" applyProtection="1">
      <alignment horizontal="center" wrapText="1"/>
      <protection hidden="1"/>
    </xf>
    <xf numFmtId="165" fontId="21" fillId="2" borderId="0" xfId="1" applyFont="1" applyFill="1" applyBorder="1" applyAlignment="1" applyProtection="1">
      <alignment wrapText="1"/>
      <protection hidden="1"/>
    </xf>
    <xf numFmtId="0" fontId="21" fillId="2" borderId="5" xfId="0" applyFont="1" applyFill="1" applyBorder="1" applyAlignment="1" applyProtection="1">
      <alignment wrapText="1"/>
      <protection hidden="1"/>
    </xf>
    <xf numFmtId="0" fontId="21" fillId="2" borderId="7" xfId="0" applyFont="1" applyFill="1" applyBorder="1" applyAlignment="1" applyProtection="1">
      <alignment horizontal="left"/>
      <protection hidden="1"/>
    </xf>
    <xf numFmtId="165" fontId="31" fillId="2" borderId="0" xfId="1" applyFont="1" applyFill="1" applyBorder="1" applyAlignment="1" applyProtection="1">
      <alignment wrapText="1"/>
      <protection hidden="1"/>
    </xf>
    <xf numFmtId="168" fontId="31" fillId="2" borderId="0" xfId="1" applyNumberFormat="1" applyFont="1" applyFill="1" applyBorder="1" applyAlignment="1" applyProtection="1">
      <alignment wrapText="1"/>
      <protection hidden="1"/>
    </xf>
    <xf numFmtId="168" fontId="31" fillId="2" borderId="5" xfId="1" applyNumberFormat="1" applyFont="1" applyFill="1" applyBorder="1" applyAlignment="1" applyProtection="1">
      <alignment wrapText="1"/>
      <protection hidden="1"/>
    </xf>
    <xf numFmtId="49" fontId="8" fillId="2" borderId="22" xfId="0" applyNumberFormat="1" applyFont="1" applyFill="1" applyBorder="1" applyProtection="1">
      <protection hidden="1"/>
    </xf>
    <xf numFmtId="49" fontId="8" fillId="2" borderId="23" xfId="0" applyNumberFormat="1" applyFont="1" applyFill="1" applyBorder="1" applyAlignment="1" applyProtection="1">
      <alignment wrapText="1"/>
      <protection hidden="1"/>
    </xf>
    <xf numFmtId="165" fontId="8" fillId="2" borderId="24" xfId="1" applyFont="1" applyFill="1" applyBorder="1" applyProtection="1">
      <protection hidden="1"/>
    </xf>
    <xf numFmtId="168" fontId="27" fillId="0" borderId="24" xfId="1" applyNumberFormat="1" applyFont="1" applyFill="1" applyBorder="1" applyProtection="1">
      <protection hidden="1"/>
    </xf>
    <xf numFmtId="165" fontId="28" fillId="2" borderId="24" xfId="1" applyFont="1" applyFill="1" applyBorder="1" applyProtection="1">
      <protection hidden="1"/>
    </xf>
    <xf numFmtId="168" fontId="28" fillId="0" borderId="24" xfId="1" applyNumberFormat="1" applyFont="1" applyFill="1" applyBorder="1" applyProtection="1">
      <protection hidden="1"/>
    </xf>
    <xf numFmtId="165" fontId="28" fillId="6" borderId="24" xfId="1" applyFont="1" applyFill="1" applyBorder="1" applyProtection="1">
      <protection hidden="1"/>
    </xf>
    <xf numFmtId="168" fontId="8" fillId="2" borderId="24" xfId="1" applyNumberFormat="1" applyFont="1" applyFill="1" applyBorder="1" applyProtection="1">
      <protection hidden="1"/>
    </xf>
    <xf numFmtId="0" fontId="7" fillId="3" borderId="14" xfId="0" applyFont="1" applyFill="1" applyBorder="1" applyAlignment="1" applyProtection="1">
      <alignment horizontal="center"/>
      <protection hidden="1"/>
    </xf>
    <xf numFmtId="0" fontId="7" fillId="3" borderId="6" xfId="0" applyFont="1" applyFill="1" applyBorder="1" applyAlignment="1" applyProtection="1">
      <alignment horizontal="center"/>
      <protection hidden="1"/>
    </xf>
    <xf numFmtId="0" fontId="7" fillId="3" borderId="14" xfId="0" applyFont="1" applyFill="1" applyBorder="1" applyProtection="1">
      <protection hidden="1"/>
    </xf>
    <xf numFmtId="49" fontId="4" fillId="2" borderId="14" xfId="0" applyNumberFormat="1" applyFont="1" applyFill="1" applyBorder="1" applyProtection="1">
      <protection hidden="1"/>
    </xf>
    <xf numFmtId="0" fontId="5" fillId="2" borderId="6" xfId="0" applyFont="1" applyFill="1" applyBorder="1" applyProtection="1">
      <protection hidden="1"/>
    </xf>
    <xf numFmtId="0" fontId="5" fillId="2" borderId="6" xfId="1" applyNumberFormat="1" applyFont="1" applyFill="1" applyBorder="1" applyProtection="1">
      <protection hidden="1"/>
    </xf>
    <xf numFmtId="165" fontId="6" fillId="2" borderId="6" xfId="1" applyFont="1" applyFill="1" applyBorder="1" applyProtection="1">
      <protection hidden="1"/>
    </xf>
    <xf numFmtId="167" fontId="6" fillId="2" borderId="6" xfId="0" applyNumberFormat="1" applyFont="1" applyFill="1" applyBorder="1" applyProtection="1">
      <protection hidden="1"/>
    </xf>
    <xf numFmtId="168" fontId="6" fillId="2" borderId="6" xfId="1" applyNumberFormat="1" applyFont="1" applyFill="1" applyBorder="1" applyProtection="1">
      <protection hidden="1"/>
    </xf>
    <xf numFmtId="0" fontId="6" fillId="2" borderId="6" xfId="0" applyFont="1" applyFill="1" applyBorder="1" applyProtection="1">
      <protection hidden="1"/>
    </xf>
    <xf numFmtId="2" fontId="6" fillId="2" borderId="6" xfId="0" applyNumberFormat="1" applyFont="1" applyFill="1" applyBorder="1" applyProtection="1">
      <protection hidden="1"/>
    </xf>
    <xf numFmtId="167" fontId="6" fillId="2" borderId="15" xfId="0" applyNumberFormat="1" applyFont="1" applyFill="1" applyBorder="1" applyProtection="1">
      <protection hidden="1"/>
    </xf>
    <xf numFmtId="49" fontId="33" fillId="2" borderId="22" xfId="0" applyNumberFormat="1" applyFont="1" applyFill="1" applyBorder="1" applyProtection="1">
      <protection hidden="1"/>
    </xf>
    <xf numFmtId="0" fontId="33" fillId="2" borderId="23" xfId="0" applyFont="1" applyFill="1" applyBorder="1" applyAlignment="1" applyProtection="1">
      <alignment wrapText="1"/>
      <protection hidden="1"/>
    </xf>
    <xf numFmtId="49" fontId="35" fillId="2" borderId="22" xfId="0" applyNumberFormat="1" applyFont="1" applyFill="1" applyBorder="1" applyProtection="1">
      <protection hidden="1"/>
    </xf>
    <xf numFmtId="0" fontId="35" fillId="2" borderId="23" xfId="0" applyFont="1" applyFill="1" applyBorder="1" applyAlignment="1" applyProtection="1">
      <alignment wrapText="1"/>
      <protection hidden="1"/>
    </xf>
    <xf numFmtId="165" fontId="35" fillId="2" borderId="24" xfId="1" applyFont="1" applyFill="1" applyBorder="1" applyProtection="1">
      <protection hidden="1"/>
    </xf>
    <xf numFmtId="165" fontId="35" fillId="6" borderId="24" xfId="1" applyFont="1" applyFill="1" applyBorder="1" applyProtection="1">
      <protection hidden="1"/>
    </xf>
    <xf numFmtId="165" fontId="35" fillId="6" borderId="24" xfId="1" applyFont="1" applyFill="1" applyBorder="1" applyAlignment="1" applyProtection="1">
      <alignment horizontal="center"/>
      <protection hidden="1"/>
    </xf>
    <xf numFmtId="0" fontId="36" fillId="2" borderId="0" xfId="0" applyFont="1" applyFill="1" applyProtection="1">
      <protection hidden="1"/>
    </xf>
    <xf numFmtId="165" fontId="37" fillId="2" borderId="20" xfId="1" applyFont="1" applyFill="1" applyBorder="1" applyProtection="1">
      <protection hidden="1"/>
    </xf>
    <xf numFmtId="49" fontId="14" fillId="0" borderId="9" xfId="0" applyNumberFormat="1" applyFont="1" applyBorder="1" applyProtection="1">
      <protection hidden="1"/>
    </xf>
    <xf numFmtId="0" fontId="8" fillId="0" borderId="20" xfId="0" applyFont="1" applyBorder="1" applyAlignment="1" applyProtection="1">
      <alignment wrapText="1"/>
      <protection hidden="1"/>
    </xf>
    <xf numFmtId="168" fontId="3" fillId="3" borderId="3" xfId="1" applyNumberFormat="1" applyFont="1" applyFill="1" applyBorder="1" applyAlignment="1" applyProtection="1">
      <protection hidden="1"/>
    </xf>
    <xf numFmtId="168" fontId="7" fillId="3" borderId="6" xfId="1" applyNumberFormat="1" applyFont="1" applyFill="1" applyBorder="1" applyAlignment="1" applyProtection="1">
      <protection hidden="1"/>
    </xf>
    <xf numFmtId="168" fontId="22" fillId="2" borderId="24" xfId="1" applyNumberFormat="1" applyFont="1" applyFill="1" applyBorder="1" applyProtection="1">
      <protection hidden="1"/>
    </xf>
    <xf numFmtId="168" fontId="35" fillId="2" borderId="24" xfId="1" applyNumberFormat="1" applyFont="1" applyFill="1" applyBorder="1" applyProtection="1">
      <protection hidden="1"/>
    </xf>
    <xf numFmtId="168" fontId="21" fillId="2" borderId="0" xfId="1" applyNumberFormat="1" applyFont="1" applyFill="1" applyBorder="1" applyAlignment="1" applyProtection="1">
      <alignment wrapText="1"/>
      <protection hidden="1"/>
    </xf>
    <xf numFmtId="168" fontId="21" fillId="4" borderId="0" xfId="1" applyNumberFormat="1" applyFont="1" applyFill="1" applyBorder="1" applyAlignment="1" applyProtection="1">
      <alignment wrapText="1"/>
      <protection hidden="1"/>
    </xf>
    <xf numFmtId="165" fontId="27" fillId="0" borderId="24" xfId="1" applyFont="1" applyFill="1" applyBorder="1" applyProtection="1">
      <protection hidden="1"/>
    </xf>
    <xf numFmtId="0" fontId="9" fillId="4" borderId="25" xfId="1" applyNumberFormat="1" applyFont="1" applyFill="1" applyBorder="1" applyAlignment="1" applyProtection="1">
      <alignment horizontal="center" wrapText="1"/>
      <protection hidden="1"/>
    </xf>
    <xf numFmtId="49" fontId="8" fillId="2" borderId="26" xfId="0" applyNumberFormat="1" applyFont="1" applyFill="1" applyBorder="1" applyAlignment="1" applyProtection="1">
      <alignment horizontal="center"/>
      <protection hidden="1"/>
    </xf>
    <xf numFmtId="0" fontId="11" fillId="2" borderId="27" xfId="0" applyFont="1" applyFill="1" applyBorder="1" applyAlignment="1" applyProtection="1">
      <alignment horizontal="left"/>
      <protection hidden="1"/>
    </xf>
    <xf numFmtId="0" fontId="4" fillId="2" borderId="28" xfId="0" applyFont="1" applyFill="1" applyBorder="1" applyProtection="1">
      <protection hidden="1"/>
    </xf>
    <xf numFmtId="165" fontId="6" fillId="2" borderId="28" xfId="1" applyFont="1" applyFill="1" applyBorder="1" applyProtection="1">
      <protection hidden="1"/>
    </xf>
    <xf numFmtId="167" fontId="6" fillId="2" borderId="28" xfId="0" applyNumberFormat="1" applyFont="1" applyFill="1" applyBorder="1" applyProtection="1">
      <protection hidden="1"/>
    </xf>
    <xf numFmtId="168" fontId="4" fillId="6" borderId="28" xfId="1" applyNumberFormat="1" applyFont="1" applyFill="1" applyBorder="1" applyProtection="1">
      <protection hidden="1"/>
    </xf>
    <xf numFmtId="165" fontId="12" fillId="2" borderId="28" xfId="1" applyFont="1" applyFill="1" applyBorder="1" applyProtection="1">
      <protection hidden="1"/>
    </xf>
    <xf numFmtId="168" fontId="6" fillId="2" borderId="28" xfId="1" applyNumberFormat="1" applyFont="1" applyFill="1" applyBorder="1" applyProtection="1">
      <protection hidden="1"/>
    </xf>
    <xf numFmtId="9" fontId="12" fillId="6" borderId="28" xfId="0" applyNumberFormat="1" applyFont="1" applyFill="1" applyBorder="1" applyProtection="1">
      <protection hidden="1"/>
    </xf>
    <xf numFmtId="0" fontId="12" fillId="6" borderId="28" xfId="0" applyFont="1" applyFill="1" applyBorder="1" applyProtection="1">
      <protection hidden="1"/>
    </xf>
    <xf numFmtId="165" fontId="4" fillId="2" borderId="28" xfId="1" applyFont="1" applyFill="1" applyBorder="1" applyProtection="1">
      <protection hidden="1"/>
    </xf>
    <xf numFmtId="165" fontId="4" fillId="6" borderId="28" xfId="1" applyFont="1" applyFill="1" applyBorder="1" applyProtection="1">
      <protection hidden="1"/>
    </xf>
    <xf numFmtId="0" fontId="6" fillId="2" borderId="28" xfId="0" applyFont="1" applyFill="1" applyBorder="1" applyProtection="1">
      <protection hidden="1"/>
    </xf>
    <xf numFmtId="165" fontId="8" fillId="2" borderId="28" xfId="1" applyFont="1" applyFill="1" applyBorder="1" applyProtection="1">
      <protection hidden="1"/>
    </xf>
    <xf numFmtId="168" fontId="4" fillId="2" borderId="28" xfId="1" applyNumberFormat="1" applyFont="1" applyFill="1" applyBorder="1" applyProtection="1">
      <protection hidden="1"/>
    </xf>
    <xf numFmtId="49" fontId="28" fillId="2" borderId="9" xfId="0" applyNumberFormat="1" applyFont="1" applyFill="1" applyBorder="1" applyProtection="1">
      <protection hidden="1"/>
    </xf>
    <xf numFmtId="49" fontId="28" fillId="2" borderId="17" xfId="0" applyNumberFormat="1" applyFont="1" applyFill="1" applyBorder="1" applyAlignment="1" applyProtection="1">
      <alignment wrapText="1"/>
      <protection hidden="1"/>
    </xf>
    <xf numFmtId="165" fontId="37" fillId="0" borderId="20" xfId="1" applyFont="1" applyFill="1" applyBorder="1" applyProtection="1">
      <protection hidden="1"/>
    </xf>
    <xf numFmtId="167" fontId="37" fillId="0" borderId="20" xfId="0" applyNumberFormat="1" applyFont="1" applyBorder="1" applyProtection="1">
      <protection hidden="1"/>
    </xf>
    <xf numFmtId="165" fontId="37" fillId="6" borderId="20" xfId="0" applyNumberFormat="1" applyFont="1" applyFill="1" applyBorder="1" applyProtection="1">
      <protection hidden="1"/>
    </xf>
    <xf numFmtId="168" fontId="37" fillId="0" borderId="20" xfId="1" applyNumberFormat="1" applyFont="1" applyFill="1" applyBorder="1" applyProtection="1">
      <protection hidden="1"/>
    </xf>
    <xf numFmtId="165" fontId="37" fillId="6" borderId="20" xfId="1" applyFont="1" applyFill="1" applyBorder="1" applyProtection="1">
      <protection hidden="1"/>
    </xf>
    <xf numFmtId="0" fontId="24" fillId="7" borderId="1" xfId="0" applyFont="1" applyFill="1" applyBorder="1" applyProtection="1">
      <protection hidden="1"/>
    </xf>
    <xf numFmtId="0" fontId="24" fillId="7" borderId="1" xfId="0" applyFont="1" applyFill="1" applyBorder="1" applyAlignment="1" applyProtection="1">
      <alignment horizontal="center"/>
      <protection hidden="1"/>
    </xf>
    <xf numFmtId="168" fontId="25" fillId="7" borderId="1" xfId="1" applyNumberFormat="1" applyFont="1" applyFill="1" applyBorder="1" applyAlignment="1" applyProtection="1">
      <alignment horizontal="center"/>
      <protection hidden="1"/>
    </xf>
    <xf numFmtId="168" fontId="25" fillId="7" borderId="1" xfId="1" applyNumberFormat="1" applyFont="1" applyFill="1" applyBorder="1" applyProtection="1">
      <protection hidden="1"/>
    </xf>
    <xf numFmtId="168" fontId="25" fillId="7" borderId="1" xfId="1" applyNumberFormat="1" applyFont="1" applyFill="1" applyBorder="1" applyAlignment="1" applyProtection="1">
      <alignment horizontal="center" wrapText="1"/>
      <protection hidden="1"/>
    </xf>
    <xf numFmtId="168" fontId="25" fillId="0" borderId="1" xfId="1" applyNumberFormat="1" applyFont="1" applyFill="1" applyBorder="1" applyAlignment="1" applyProtection="1">
      <alignment horizontal="center"/>
      <protection hidden="1"/>
    </xf>
    <xf numFmtId="168" fontId="25" fillId="0" borderId="1" xfId="1" applyNumberFormat="1" applyFont="1" applyFill="1" applyBorder="1" applyProtection="1">
      <protection hidden="1"/>
    </xf>
    <xf numFmtId="168" fontId="25" fillId="0" borderId="1" xfId="1" applyNumberFormat="1" applyFont="1" applyFill="1" applyBorder="1" applyAlignment="1" applyProtection="1">
      <alignment horizontal="center" wrapText="1"/>
      <protection hidden="1"/>
    </xf>
    <xf numFmtId="0" fontId="24" fillId="7" borderId="1" xfId="0" applyFont="1" applyFill="1" applyBorder="1" applyAlignment="1" applyProtection="1">
      <alignment wrapText="1"/>
      <protection hidden="1"/>
    </xf>
    <xf numFmtId="0" fontId="25" fillId="7" borderId="1" xfId="0" applyFont="1" applyFill="1" applyBorder="1" applyAlignment="1" applyProtection="1">
      <alignment horizontal="center"/>
      <protection hidden="1"/>
    </xf>
    <xf numFmtId="168" fontId="26" fillId="7" borderId="1" xfId="1" applyNumberFormat="1" applyFont="1" applyFill="1" applyBorder="1" applyProtection="1">
      <protection hidden="1"/>
    </xf>
    <xf numFmtId="168" fontId="26" fillId="0" borderId="1" xfId="1" applyNumberFormat="1" applyFont="1" applyFill="1" applyBorder="1" applyProtection="1">
      <protection hidden="1"/>
    </xf>
    <xf numFmtId="168" fontId="25" fillId="0" borderId="0" xfId="1" applyNumberFormat="1" applyFont="1" applyFill="1" applyAlignment="1" applyProtection="1">
      <alignment horizontal="center"/>
      <protection hidden="1"/>
    </xf>
    <xf numFmtId="165" fontId="40" fillId="2" borderId="20" xfId="1" applyFont="1" applyFill="1" applyBorder="1" applyProtection="1">
      <protection hidden="1"/>
    </xf>
    <xf numFmtId="0" fontId="24" fillId="8" borderId="1" xfId="0" applyFont="1" applyFill="1" applyBorder="1" applyProtection="1">
      <protection hidden="1"/>
    </xf>
    <xf numFmtId="0" fontId="24" fillId="8" borderId="1" xfId="0" applyFont="1" applyFill="1" applyBorder="1" applyAlignment="1" applyProtection="1">
      <alignment horizontal="center"/>
      <protection hidden="1"/>
    </xf>
    <xf numFmtId="0" fontId="25" fillId="8" borderId="1" xfId="0" applyFont="1" applyFill="1" applyBorder="1" applyAlignment="1" applyProtection="1">
      <alignment horizontal="center"/>
      <protection hidden="1"/>
    </xf>
    <xf numFmtId="168" fontId="26" fillId="8" borderId="1" xfId="1" applyNumberFormat="1" applyFont="1" applyFill="1" applyBorder="1" applyProtection="1">
      <protection hidden="1"/>
    </xf>
    <xf numFmtId="0" fontId="24" fillId="8" borderId="0" xfId="0" applyFont="1" applyFill="1" applyProtection="1">
      <protection hidden="1"/>
    </xf>
    <xf numFmtId="0" fontId="24" fillId="8" borderId="0" xfId="0" applyFont="1" applyFill="1" applyAlignment="1" applyProtection="1">
      <alignment horizontal="center"/>
      <protection hidden="1"/>
    </xf>
    <xf numFmtId="0" fontId="25" fillId="8" borderId="0" xfId="0" applyFont="1" applyFill="1" applyAlignment="1" applyProtection="1">
      <alignment horizontal="center"/>
      <protection hidden="1"/>
    </xf>
    <xf numFmtId="168" fontId="25" fillId="8" borderId="0" xfId="1" applyNumberFormat="1" applyFont="1" applyFill="1" applyAlignment="1" applyProtection="1">
      <alignment horizontal="center"/>
      <protection hidden="1"/>
    </xf>
    <xf numFmtId="0" fontId="24" fillId="0" borderId="0" xfId="0" applyFont="1" applyProtection="1">
      <protection hidden="1"/>
    </xf>
    <xf numFmtId="0" fontId="24" fillId="0" borderId="0" xfId="0" applyFont="1" applyAlignment="1" applyProtection="1">
      <alignment wrapText="1"/>
      <protection hidden="1"/>
    </xf>
    <xf numFmtId="0" fontId="25" fillId="0" borderId="0" xfId="0" applyFont="1" applyProtection="1">
      <protection hidden="1"/>
    </xf>
    <xf numFmtId="0" fontId="24" fillId="0" borderId="1" xfId="0" applyFont="1" applyBorder="1" applyProtection="1">
      <protection hidden="1"/>
    </xf>
    <xf numFmtId="0" fontId="24" fillId="0" borderId="1" xfId="0" applyFont="1" applyBorder="1" applyAlignment="1" applyProtection="1">
      <alignment horizontal="center"/>
      <protection hidden="1"/>
    </xf>
    <xf numFmtId="0" fontId="24" fillId="0" borderId="1" xfId="0" applyFont="1" applyBorder="1" applyAlignment="1" applyProtection="1">
      <alignment wrapText="1"/>
      <protection hidden="1"/>
    </xf>
    <xf numFmtId="168" fontId="26" fillId="7" borderId="1" xfId="1" applyNumberFormat="1" applyFont="1" applyFill="1" applyBorder="1" applyAlignment="1" applyProtection="1">
      <alignment wrapText="1"/>
      <protection hidden="1"/>
    </xf>
    <xf numFmtId="0" fontId="25" fillId="0" borderId="1" xfId="0" applyFont="1" applyBorder="1" applyAlignment="1" applyProtection="1">
      <alignment horizontal="center"/>
      <protection hidden="1"/>
    </xf>
    <xf numFmtId="168" fontId="38" fillId="9" borderId="1" xfId="1" applyNumberFormat="1" applyFont="1" applyFill="1" applyBorder="1" applyAlignment="1" applyProtection="1">
      <alignment wrapText="1"/>
      <protection hidden="1"/>
    </xf>
    <xf numFmtId="168" fontId="25" fillId="8" borderId="1" xfId="1" applyNumberFormat="1" applyFont="1" applyFill="1" applyBorder="1" applyProtection="1">
      <protection hidden="1"/>
    </xf>
    <xf numFmtId="168" fontId="26" fillId="8" borderId="1" xfId="1" applyNumberFormat="1" applyFont="1" applyFill="1" applyBorder="1" applyAlignment="1" applyProtection="1">
      <alignment wrapText="1"/>
      <protection hidden="1"/>
    </xf>
    <xf numFmtId="168" fontId="25" fillId="8" borderId="0" xfId="1" applyNumberFormat="1" applyFont="1" applyFill="1" applyProtection="1">
      <protection hidden="1"/>
    </xf>
    <xf numFmtId="168" fontId="25" fillId="8" borderId="0" xfId="1" applyNumberFormat="1" applyFont="1" applyFill="1" applyAlignment="1" applyProtection="1">
      <alignment horizontal="center" wrapText="1"/>
      <protection hidden="1"/>
    </xf>
    <xf numFmtId="0" fontId="24" fillId="0" borderId="0" xfId="0" applyFont="1" applyAlignment="1" applyProtection="1">
      <alignment horizontal="center"/>
      <protection hidden="1"/>
    </xf>
    <xf numFmtId="0" fontId="25" fillId="0" borderId="0" xfId="0" applyFont="1" applyAlignment="1" applyProtection="1">
      <alignment horizontal="center"/>
      <protection hidden="1"/>
    </xf>
    <xf numFmtId="168" fontId="25" fillId="0" borderId="0" xfId="1" applyNumberFormat="1" applyFont="1" applyFill="1" applyProtection="1">
      <protection hidden="1"/>
    </xf>
    <xf numFmtId="168" fontId="25" fillId="0" borderId="0" xfId="1" applyNumberFormat="1" applyFont="1" applyFill="1" applyAlignment="1" applyProtection="1">
      <alignment horizontal="center" wrapText="1"/>
      <protection hidden="1"/>
    </xf>
    <xf numFmtId="0" fontId="28" fillId="2" borderId="17" xfId="0" applyFont="1" applyFill="1" applyBorder="1" applyProtection="1">
      <protection hidden="1"/>
    </xf>
    <xf numFmtId="0" fontId="28" fillId="2" borderId="20" xfId="1" applyNumberFormat="1" applyFont="1" applyFill="1" applyBorder="1" applyProtection="1">
      <protection hidden="1"/>
    </xf>
    <xf numFmtId="165" fontId="28" fillId="2" borderId="20" xfId="1" applyFont="1" applyFill="1" applyBorder="1" applyProtection="1">
      <protection hidden="1"/>
    </xf>
    <xf numFmtId="167" fontId="28" fillId="0" borderId="20" xfId="0" applyNumberFormat="1" applyFont="1" applyBorder="1" applyProtection="1">
      <protection hidden="1"/>
    </xf>
    <xf numFmtId="165" fontId="28" fillId="0" borderId="20" xfId="1" applyFont="1" applyFill="1" applyBorder="1" applyProtection="1">
      <protection hidden="1"/>
    </xf>
    <xf numFmtId="167" fontId="28" fillId="2" borderId="20" xfId="0" applyNumberFormat="1" applyFont="1" applyFill="1" applyBorder="1" applyProtection="1">
      <protection hidden="1"/>
    </xf>
    <xf numFmtId="165" fontId="28" fillId="6" borderId="20" xfId="0" applyNumberFormat="1" applyFont="1" applyFill="1" applyBorder="1" applyProtection="1">
      <protection hidden="1"/>
    </xf>
    <xf numFmtId="168" fontId="28" fillId="2" borderId="20" xfId="1" applyNumberFormat="1" applyFont="1" applyFill="1" applyBorder="1" applyProtection="1">
      <protection hidden="1"/>
    </xf>
    <xf numFmtId="165" fontId="28" fillId="6" borderId="20" xfId="1" applyFont="1" applyFill="1" applyBorder="1" applyProtection="1">
      <protection hidden="1"/>
    </xf>
    <xf numFmtId="168" fontId="28" fillId="0" borderId="20" xfId="1" applyNumberFormat="1" applyFont="1" applyFill="1" applyBorder="1" applyProtection="1">
      <protection hidden="1"/>
    </xf>
    <xf numFmtId="0" fontId="43" fillId="2" borderId="0" xfId="0" applyFont="1" applyFill="1" applyProtection="1">
      <protection hidden="1"/>
    </xf>
    <xf numFmtId="0" fontId="18" fillId="2" borderId="13" xfId="0" applyFont="1" applyFill="1" applyBorder="1" applyProtection="1">
      <protection hidden="1"/>
    </xf>
    <xf numFmtId="0" fontId="21" fillId="2" borderId="7" xfId="0" applyFont="1" applyFill="1" applyBorder="1" applyProtection="1">
      <protection hidden="1"/>
    </xf>
    <xf numFmtId="0" fontId="21" fillId="2" borderId="0" xfId="0" applyFont="1" applyFill="1" applyProtection="1">
      <protection hidden="1"/>
    </xf>
    <xf numFmtId="0" fontId="21" fillId="2" borderId="0" xfId="0" applyFont="1" applyFill="1" applyAlignment="1" applyProtection="1">
      <alignment wrapText="1"/>
      <protection hidden="1"/>
    </xf>
    <xf numFmtId="0" fontId="21" fillId="2" borderId="0" xfId="0" applyFont="1" applyFill="1" applyAlignment="1" applyProtection="1">
      <alignment horizontal="left" wrapText="1"/>
      <protection hidden="1"/>
    </xf>
    <xf numFmtId="0" fontId="4" fillId="2" borderId="0" xfId="0" applyFont="1" applyFill="1" applyAlignment="1" applyProtection="1">
      <alignment wrapText="1"/>
      <protection hidden="1"/>
    </xf>
    <xf numFmtId="0" fontId="39" fillId="2" borderId="7" xfId="0" applyFont="1" applyFill="1" applyBorder="1" applyProtection="1">
      <protection hidden="1"/>
    </xf>
    <xf numFmtId="0" fontId="19" fillId="2" borderId="7" xfId="0" applyFont="1" applyFill="1" applyBorder="1" applyProtection="1">
      <protection hidden="1"/>
    </xf>
    <xf numFmtId="0" fontId="20" fillId="2" borderId="0" xfId="0" applyFont="1" applyFill="1" applyAlignment="1" applyProtection="1">
      <alignment wrapText="1"/>
      <protection hidden="1"/>
    </xf>
    <xf numFmtId="0" fontId="29" fillId="2" borderId="7" xfId="0" applyFont="1" applyFill="1" applyBorder="1" applyProtection="1">
      <protection hidden="1"/>
    </xf>
    <xf numFmtId="0" fontId="30" fillId="2" borderId="7" xfId="0" applyFont="1" applyFill="1" applyBorder="1" applyProtection="1">
      <protection hidden="1"/>
    </xf>
    <xf numFmtId="0" fontId="31" fillId="2" borderId="0" xfId="0" applyFont="1" applyFill="1" applyAlignment="1" applyProtection="1">
      <alignment wrapText="1"/>
      <protection hidden="1"/>
    </xf>
    <xf numFmtId="0" fontId="32" fillId="2" borderId="7" xfId="0" applyFont="1" applyFill="1" applyBorder="1" applyProtection="1">
      <protection hidden="1"/>
    </xf>
    <xf numFmtId="0" fontId="21" fillId="4" borderId="7" xfId="0" applyFont="1" applyFill="1" applyBorder="1" applyProtection="1">
      <protection hidden="1"/>
    </xf>
    <xf numFmtId="0" fontId="21" fillId="4" borderId="0" xfId="0" applyFont="1" applyFill="1" applyAlignment="1" applyProtection="1">
      <alignment wrapText="1"/>
      <protection hidden="1"/>
    </xf>
    <xf numFmtId="165" fontId="21" fillId="4" borderId="0" xfId="0" applyNumberFormat="1" applyFont="1" applyFill="1" applyAlignment="1" applyProtection="1">
      <alignment wrapText="1"/>
      <protection hidden="1"/>
    </xf>
    <xf numFmtId="0" fontId="28" fillId="2" borderId="17" xfId="0" applyFont="1" applyFill="1" applyBorder="1" applyAlignment="1" applyProtection="1">
      <alignment horizontal="left" wrapText="1"/>
      <protection hidden="1"/>
    </xf>
    <xf numFmtId="0" fontId="8" fillId="2" borderId="17" xfId="0" applyFont="1" applyFill="1" applyBorder="1" applyAlignment="1" applyProtection="1">
      <alignment horizontal="left" wrapText="1"/>
      <protection hidden="1"/>
    </xf>
    <xf numFmtId="169" fontId="25" fillId="0" borderId="1" xfId="1" applyNumberFormat="1" applyFont="1" applyBorder="1" applyAlignment="1" applyProtection="1">
      <alignment horizontal="center"/>
      <protection hidden="1"/>
    </xf>
    <xf numFmtId="0" fontId="44" fillId="2" borderId="7" xfId="0" applyFont="1" applyFill="1" applyBorder="1" applyProtection="1">
      <protection hidden="1"/>
    </xf>
    <xf numFmtId="0" fontId="45" fillId="0" borderId="0" xfId="0" applyFont="1"/>
    <xf numFmtId="0" fontId="46" fillId="2" borderId="0" xfId="0" applyFont="1" applyFill="1"/>
    <xf numFmtId="0" fontId="45" fillId="2" borderId="0" xfId="0" applyFont="1" applyFill="1" applyAlignment="1">
      <alignment vertical="center"/>
    </xf>
    <xf numFmtId="0" fontId="46" fillId="0" borderId="0" xfId="0" applyFont="1"/>
    <xf numFmtId="0" fontId="31" fillId="2" borderId="0" xfId="0" applyFont="1" applyFill="1" applyProtection="1">
      <protection hidden="1"/>
    </xf>
    <xf numFmtId="0" fontId="46" fillId="0" borderId="0" xfId="0" applyFont="1" applyAlignment="1">
      <alignment vertical="center"/>
    </xf>
    <xf numFmtId="0" fontId="47" fillId="2" borderId="7" xfId="0" applyFont="1" applyFill="1" applyBorder="1" applyProtection="1">
      <protection hidden="1"/>
    </xf>
    <xf numFmtId="0" fontId="27" fillId="2" borderId="0" xfId="0" applyFont="1" applyFill="1" applyAlignment="1" applyProtection="1">
      <alignment wrapText="1"/>
      <protection hidden="1"/>
    </xf>
    <xf numFmtId="165" fontId="27" fillId="2" borderId="0" xfId="1" applyFont="1" applyFill="1" applyBorder="1" applyAlignment="1" applyProtection="1">
      <alignment wrapText="1"/>
      <protection hidden="1"/>
    </xf>
    <xf numFmtId="168" fontId="27" fillId="2" borderId="0" xfId="1" applyNumberFormat="1" applyFont="1" applyFill="1" applyBorder="1" applyAlignment="1" applyProtection="1">
      <alignment wrapText="1"/>
      <protection hidden="1"/>
    </xf>
    <xf numFmtId="168" fontId="27" fillId="2" borderId="5" xfId="1" applyNumberFormat="1" applyFont="1" applyFill="1" applyBorder="1" applyAlignment="1" applyProtection="1">
      <alignment wrapText="1"/>
      <protection hidden="1"/>
    </xf>
    <xf numFmtId="0" fontId="27" fillId="2" borderId="0" xfId="0" applyFont="1" applyFill="1" applyProtection="1">
      <protection hidden="1"/>
    </xf>
    <xf numFmtId="0" fontId="48" fillId="2" borderId="7" xfId="0" applyFont="1" applyFill="1" applyBorder="1" applyProtection="1">
      <protection hidden="1"/>
    </xf>
    <xf numFmtId="0" fontId="20" fillId="2" borderId="0" xfId="0" applyFont="1" applyFill="1" applyProtection="1">
      <protection hidden="1"/>
    </xf>
    <xf numFmtId="49" fontId="49" fillId="10" borderId="7" xfId="0" applyNumberFormat="1" applyFont="1" applyFill="1" applyBorder="1" applyProtection="1">
      <protection hidden="1"/>
    </xf>
    <xf numFmtId="0" fontId="50" fillId="10" borderId="0" xfId="0" applyFont="1" applyFill="1" applyProtection="1">
      <protection hidden="1"/>
    </xf>
    <xf numFmtId="168" fontId="50" fillId="10" borderId="0" xfId="1" applyNumberFormat="1" applyFont="1" applyFill="1" applyBorder="1" applyProtection="1">
      <protection hidden="1"/>
    </xf>
    <xf numFmtId="165" fontId="50" fillId="10" borderId="0" xfId="1" applyFont="1" applyFill="1" applyBorder="1" applyProtection="1">
      <protection hidden="1"/>
    </xf>
    <xf numFmtId="168" fontId="49" fillId="10" borderId="0" xfId="1" applyNumberFormat="1" applyFont="1" applyFill="1" applyBorder="1" applyProtection="1">
      <protection hidden="1"/>
    </xf>
    <xf numFmtId="170" fontId="50" fillId="10" borderId="0" xfId="0" applyNumberFormat="1" applyFont="1" applyFill="1" applyProtection="1">
      <protection hidden="1"/>
    </xf>
    <xf numFmtId="168" fontId="50" fillId="10" borderId="0" xfId="0" applyNumberFormat="1" applyFont="1" applyFill="1" applyProtection="1">
      <protection hidden="1"/>
    </xf>
    <xf numFmtId="165" fontId="49" fillId="10" borderId="0" xfId="1" applyFont="1" applyFill="1" applyBorder="1" applyProtection="1">
      <protection hidden="1"/>
    </xf>
    <xf numFmtId="168" fontId="49" fillId="10" borderId="5" xfId="1" applyNumberFormat="1" applyFont="1" applyFill="1" applyBorder="1" applyProtection="1">
      <protection hidden="1"/>
    </xf>
    <xf numFmtId="169" fontId="25" fillId="7" borderId="1" xfId="1" applyNumberFormat="1" applyFont="1" applyFill="1" applyBorder="1" applyAlignment="1" applyProtection="1">
      <alignment horizontal="center"/>
      <protection hidden="1"/>
    </xf>
    <xf numFmtId="169" fontId="25" fillId="0" borderId="1" xfId="1" applyNumberFormat="1" applyFont="1" applyFill="1" applyBorder="1" applyAlignment="1" applyProtection="1">
      <alignment horizontal="center"/>
      <protection hidden="1"/>
    </xf>
    <xf numFmtId="165" fontId="21" fillId="2" borderId="0" xfId="1" applyFont="1" applyFill="1" applyAlignment="1" applyProtection="1">
      <alignment wrapText="1"/>
      <protection hidden="1"/>
    </xf>
    <xf numFmtId="165" fontId="21" fillId="4" borderId="0" xfId="1" applyFont="1" applyFill="1" applyAlignment="1" applyProtection="1">
      <alignment wrapText="1"/>
      <protection hidden="1"/>
    </xf>
    <xf numFmtId="0" fontId="51" fillId="9" borderId="13" xfId="0" applyFont="1" applyFill="1" applyBorder="1" applyProtection="1">
      <protection hidden="1"/>
    </xf>
    <xf numFmtId="0" fontId="50" fillId="9" borderId="11" xfId="0" applyFont="1" applyFill="1" applyBorder="1" applyAlignment="1" applyProtection="1">
      <alignment wrapText="1"/>
      <protection hidden="1"/>
    </xf>
    <xf numFmtId="0" fontId="50" fillId="9" borderId="11" xfId="1" applyNumberFormat="1" applyFont="1" applyFill="1" applyBorder="1" applyAlignment="1" applyProtection="1">
      <alignment wrapText="1"/>
      <protection hidden="1"/>
    </xf>
    <xf numFmtId="165" fontId="50" fillId="9" borderId="11" xfId="1" applyFont="1" applyFill="1" applyBorder="1" applyAlignment="1" applyProtection="1">
      <alignment wrapText="1"/>
      <protection hidden="1"/>
    </xf>
    <xf numFmtId="168" fontId="50" fillId="9" borderId="11" xfId="1" applyNumberFormat="1" applyFont="1" applyFill="1" applyBorder="1" applyAlignment="1" applyProtection="1">
      <alignment wrapText="1"/>
      <protection hidden="1"/>
    </xf>
    <xf numFmtId="168" fontId="50" fillId="9" borderId="12" xfId="1" applyNumberFormat="1" applyFont="1" applyFill="1" applyBorder="1" applyAlignment="1" applyProtection="1">
      <alignment wrapText="1"/>
      <protection hidden="1"/>
    </xf>
    <xf numFmtId="0" fontId="52" fillId="9" borderId="7" xfId="0" applyFont="1" applyFill="1" applyBorder="1" applyProtection="1">
      <protection hidden="1"/>
    </xf>
    <xf numFmtId="0" fontId="52" fillId="9" borderId="0" xfId="0" applyFont="1" applyFill="1" applyAlignment="1" applyProtection="1">
      <alignment wrapText="1"/>
      <protection hidden="1"/>
    </xf>
    <xf numFmtId="165" fontId="52" fillId="9" borderId="0" xfId="1" applyFont="1" applyFill="1" applyBorder="1" applyAlignment="1" applyProtection="1">
      <alignment wrapText="1"/>
      <protection hidden="1"/>
    </xf>
    <xf numFmtId="165" fontId="52" fillId="9" borderId="0" xfId="0" applyNumberFormat="1" applyFont="1" applyFill="1" applyAlignment="1" applyProtection="1">
      <alignment wrapText="1"/>
      <protection hidden="1"/>
    </xf>
    <xf numFmtId="165" fontId="52" fillId="9" borderId="0" xfId="1" applyFont="1" applyFill="1" applyAlignment="1" applyProtection="1">
      <alignment wrapText="1"/>
      <protection hidden="1"/>
    </xf>
    <xf numFmtId="168" fontId="52" fillId="9" borderId="0" xfId="1" applyNumberFormat="1" applyFont="1" applyFill="1" applyBorder="1" applyAlignment="1" applyProtection="1">
      <alignment wrapText="1"/>
      <protection hidden="1"/>
    </xf>
    <xf numFmtId="0" fontId="52" fillId="9" borderId="5" xfId="0" applyFont="1" applyFill="1" applyBorder="1" applyAlignment="1" applyProtection="1">
      <alignment wrapText="1"/>
      <protection hidden="1"/>
    </xf>
    <xf numFmtId="0" fontId="50" fillId="9" borderId="7" xfId="0" applyFont="1" applyFill="1" applyBorder="1" applyProtection="1">
      <protection hidden="1"/>
    </xf>
    <xf numFmtId="0" fontId="50" fillId="9" borderId="0" xfId="0" applyFont="1" applyFill="1" applyAlignment="1" applyProtection="1">
      <alignment wrapText="1"/>
      <protection hidden="1"/>
    </xf>
    <xf numFmtId="0" fontId="50" fillId="9" borderId="0" xfId="1" applyNumberFormat="1" applyFont="1" applyFill="1" applyBorder="1" applyAlignment="1" applyProtection="1">
      <alignment wrapText="1"/>
      <protection hidden="1"/>
    </xf>
    <xf numFmtId="165" fontId="50" fillId="9" borderId="0" xfId="1" applyFont="1" applyFill="1" applyBorder="1" applyAlignment="1" applyProtection="1">
      <alignment wrapText="1"/>
      <protection hidden="1"/>
    </xf>
    <xf numFmtId="168" fontId="50" fillId="9" borderId="0" xfId="1" applyNumberFormat="1" applyFont="1" applyFill="1" applyBorder="1" applyAlignment="1" applyProtection="1">
      <alignment wrapText="1"/>
      <protection hidden="1"/>
    </xf>
    <xf numFmtId="168" fontId="50" fillId="9" borderId="5" xfId="1" applyNumberFormat="1" applyFont="1" applyFill="1" applyBorder="1" applyAlignment="1" applyProtection="1">
      <alignment wrapText="1"/>
      <protection hidden="1"/>
    </xf>
    <xf numFmtId="168" fontId="38" fillId="11" borderId="1" xfId="1" applyNumberFormat="1" applyFont="1" applyFill="1" applyBorder="1" applyAlignment="1" applyProtection="1">
      <alignment wrapText="1"/>
      <protection hidden="1"/>
    </xf>
    <xf numFmtId="168" fontId="53" fillId="11" borderId="1" xfId="1" applyNumberFormat="1" applyFont="1" applyFill="1" applyBorder="1" applyAlignment="1" applyProtection="1">
      <alignment horizontal="center"/>
      <protection hidden="1"/>
    </xf>
    <xf numFmtId="168" fontId="3" fillId="3" borderId="3" xfId="1" applyNumberFormat="1" applyFont="1" applyFill="1" applyBorder="1" applyProtection="1">
      <protection hidden="1"/>
    </xf>
    <xf numFmtId="168" fontId="7" fillId="3" borderId="6" xfId="1" applyNumberFormat="1" applyFont="1" applyFill="1" applyBorder="1" applyProtection="1">
      <protection hidden="1"/>
    </xf>
    <xf numFmtId="168" fontId="6" fillId="2" borderId="0" xfId="1" applyNumberFormat="1" applyFont="1" applyFill="1" applyProtection="1">
      <protection hidden="1"/>
    </xf>
    <xf numFmtId="0" fontId="54" fillId="0" borderId="0" xfId="0" applyFont="1"/>
    <xf numFmtId="171" fontId="25" fillId="0" borderId="0" xfId="0" applyNumberFormat="1" applyFont="1" applyProtection="1">
      <protection hidden="1"/>
    </xf>
    <xf numFmtId="168" fontId="25" fillId="12" borderId="1" xfId="1" applyNumberFormat="1" applyFont="1" applyFill="1" applyBorder="1" applyAlignment="1" applyProtection="1">
      <alignment horizontal="center"/>
      <protection hidden="1"/>
    </xf>
    <xf numFmtId="2" fontId="22" fillId="6" borderId="24" xfId="3" applyNumberFormat="1" applyFont="1" applyFill="1" applyBorder="1" applyAlignment="1" applyProtection="1">
      <alignment horizontal="center"/>
      <protection hidden="1"/>
    </xf>
    <xf numFmtId="0" fontId="7" fillId="0" borderId="14" xfId="0" applyFont="1" applyBorder="1" applyAlignment="1" applyProtection="1">
      <alignment horizontal="center"/>
      <protection hidden="1"/>
    </xf>
    <xf numFmtId="0" fontId="7" fillId="0" borderId="6" xfId="0" applyFont="1" applyBorder="1" applyAlignment="1" applyProtection="1">
      <alignment horizontal="center"/>
      <protection hidden="1"/>
    </xf>
    <xf numFmtId="0" fontId="7" fillId="0" borderId="15" xfId="0" applyFont="1" applyBorder="1" applyAlignment="1" applyProtection="1">
      <alignment horizontal="center"/>
      <protection hidden="1"/>
    </xf>
    <xf numFmtId="0" fontId="7" fillId="2" borderId="14" xfId="0" applyFont="1" applyFill="1" applyBorder="1" applyAlignment="1" applyProtection="1">
      <alignment horizontal="center"/>
      <protection hidden="1"/>
    </xf>
    <xf numFmtId="0" fontId="7" fillId="2" borderId="6" xfId="0" applyFont="1" applyFill="1" applyBorder="1" applyAlignment="1" applyProtection="1">
      <alignment horizontal="center"/>
      <protection hidden="1"/>
    </xf>
    <xf numFmtId="165" fontId="7" fillId="2" borderId="14" xfId="1" applyFont="1" applyFill="1" applyBorder="1" applyAlignment="1" applyProtection="1">
      <alignment horizontal="center"/>
      <protection hidden="1"/>
    </xf>
    <xf numFmtId="165" fontId="7" fillId="2" borderId="6" xfId="1" applyFont="1" applyFill="1" applyBorder="1" applyAlignment="1" applyProtection="1">
      <alignment horizontal="center"/>
      <protection hidden="1"/>
    </xf>
    <xf numFmtId="165" fontId="7" fillId="2" borderId="15" xfId="1" applyFont="1" applyFill="1" applyBorder="1" applyAlignment="1" applyProtection="1">
      <alignment horizontal="center"/>
      <protection hidden="1"/>
    </xf>
    <xf numFmtId="0" fontId="7" fillId="0" borderId="2" xfId="0" applyFont="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4" xfId="0" applyFont="1" applyBorder="1" applyAlignment="1" applyProtection="1">
      <alignment horizontal="center"/>
      <protection hidden="1"/>
    </xf>
    <xf numFmtId="0" fontId="38" fillId="13" borderId="1" xfId="0" applyFont="1" applyFill="1" applyBorder="1" applyProtection="1">
      <protection hidden="1"/>
    </xf>
    <xf numFmtId="0" fontId="38" fillId="13" borderId="1" xfId="0" applyFont="1" applyFill="1" applyBorder="1" applyAlignment="1" applyProtection="1">
      <alignment horizontal="center"/>
      <protection hidden="1"/>
    </xf>
    <xf numFmtId="0" fontId="38" fillId="13" borderId="1" xfId="0" quotePrefix="1" applyFont="1" applyFill="1" applyBorder="1" applyAlignment="1" applyProtection="1">
      <alignment horizontal="center"/>
      <protection hidden="1"/>
    </xf>
    <xf numFmtId="168" fontId="38" fillId="13" borderId="1" xfId="1" applyNumberFormat="1" applyFont="1" applyFill="1" applyBorder="1" applyAlignment="1" applyProtection="1">
      <alignment horizontal="center" wrapText="1"/>
      <protection hidden="1"/>
    </xf>
    <xf numFmtId="168" fontId="38" fillId="13" borderId="1" xfId="1" applyNumberFormat="1" applyFont="1" applyFill="1" applyBorder="1" applyAlignment="1" applyProtection="1">
      <alignment horizontal="center"/>
      <protection hidden="1"/>
    </xf>
    <xf numFmtId="0" fontId="38" fillId="13" borderId="1" xfId="0" applyFont="1" applyFill="1" applyBorder="1" applyAlignment="1" applyProtection="1">
      <alignment wrapText="1"/>
      <protection hidden="1"/>
    </xf>
    <xf numFmtId="0" fontId="38" fillId="13" borderId="1" xfId="0" applyFont="1" applyFill="1" applyBorder="1" applyAlignment="1" applyProtection="1">
      <alignment horizontal="center" wrapText="1"/>
      <protection hidden="1"/>
    </xf>
    <xf numFmtId="0" fontId="38" fillId="13" borderId="1" xfId="0" quotePrefix="1" applyFont="1" applyFill="1" applyBorder="1" applyAlignment="1" applyProtection="1">
      <alignment horizontal="center" wrapText="1"/>
      <protection hidden="1"/>
    </xf>
    <xf numFmtId="168" fontId="38" fillId="13" borderId="1" xfId="1" applyNumberFormat="1" applyFont="1" applyFill="1" applyBorder="1" applyAlignment="1" applyProtection="1">
      <alignment wrapText="1"/>
      <protection hidden="1"/>
    </xf>
    <xf numFmtId="168" fontId="38" fillId="13" borderId="1" xfId="1" applyNumberFormat="1" applyFont="1" applyFill="1" applyBorder="1" applyProtection="1">
      <protection hidden="1"/>
    </xf>
    <xf numFmtId="165" fontId="1" fillId="0" borderId="1" xfId="1" applyFont="1" applyBorder="1" applyAlignment="1"/>
  </cellXfs>
  <cellStyles count="4">
    <cellStyle name="Comma" xfId="1" builtinId="3"/>
    <cellStyle name="Currency" xfId="3"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313272</xdr:colOff>
      <xdr:row>4</xdr:row>
      <xdr:rowOff>50796</xdr:rowOff>
    </xdr:from>
    <xdr:to>
      <xdr:col>1</xdr:col>
      <xdr:colOff>4038605</xdr:colOff>
      <xdr:row>4</xdr:row>
      <xdr:rowOff>919161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8585" y="919952"/>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62"/>
  <sheetViews>
    <sheetView tabSelected="1" zoomScale="85" zoomScaleNormal="85" workbookViewId="0">
      <pane xSplit="3" ySplit="7" topLeftCell="D8" activePane="bottomRight" state="frozen"/>
      <selection pane="topRight" activeCell="D1" sqref="D1"/>
      <selection pane="bottomLeft" activeCell="A8" sqref="A8"/>
      <selection pane="bottomRight" activeCell="D8" sqref="D8"/>
    </sheetView>
  </sheetViews>
  <sheetFormatPr defaultColWidth="9.109375" defaultRowHeight="13.8" x14ac:dyDescent="0.3"/>
  <cols>
    <col min="1" max="1" width="8.88671875" style="4" bestFit="1" customWidth="1"/>
    <col min="2" max="2" width="62.6640625" style="4" customWidth="1"/>
    <col min="3" max="3" width="11.6640625" style="4" bestFit="1" customWidth="1"/>
    <col min="4" max="4" width="10.5546875" style="5" bestFit="1" customWidth="1"/>
    <col min="5" max="5" width="9.5546875" style="6" customWidth="1"/>
    <col min="6" max="6" width="9.5546875" style="5" customWidth="1"/>
    <col min="7" max="7" width="9.5546875" style="6" customWidth="1"/>
    <col min="8" max="8" width="9.5546875" style="5" customWidth="1"/>
    <col min="9" max="9" width="9.5546875" style="6" customWidth="1"/>
    <col min="10" max="16" width="10.5546875" style="6" bestFit="1" customWidth="1"/>
    <col min="17" max="17" width="9.5546875" style="5" customWidth="1"/>
    <col min="18" max="18" width="9.5546875" style="7" customWidth="1"/>
    <col min="19" max="20" width="10.5546875" style="6" bestFit="1" customWidth="1"/>
    <col min="21" max="21" width="9.5546875" style="5" customWidth="1"/>
    <col min="22" max="22" width="9.5546875" style="7" customWidth="1"/>
    <col min="23" max="23" width="9.5546875" style="5" customWidth="1"/>
    <col min="24" max="24" width="9.5546875" style="7" customWidth="1"/>
    <col min="25" max="25" width="10.33203125" style="9" customWidth="1"/>
    <col min="26" max="30" width="10.5546875" style="9" bestFit="1" customWidth="1"/>
    <col min="31" max="31" width="9.44140625" style="5" customWidth="1"/>
    <col min="32" max="32" width="7.88671875" style="5" bestFit="1" customWidth="1"/>
    <col min="33" max="34" width="10.5546875" style="5" bestFit="1" customWidth="1"/>
    <col min="35" max="35" width="10.5546875" style="5" hidden="1" customWidth="1"/>
    <col min="36" max="36" width="10.109375" style="5" customWidth="1"/>
    <col min="37" max="37" width="10.88671875" style="8" customWidth="1"/>
    <col min="38" max="38" width="10.5546875" style="5" bestFit="1" customWidth="1"/>
    <col min="39" max="39" width="10.5546875" style="8" customWidth="1"/>
    <col min="40" max="40" width="10.5546875" style="6" bestFit="1" customWidth="1"/>
    <col min="41" max="41" width="7.88671875" style="6" bestFit="1" customWidth="1"/>
    <col min="42" max="42" width="10.5546875" style="5" bestFit="1" customWidth="1"/>
    <col min="43" max="43" width="10.33203125" style="5" customWidth="1"/>
    <col min="44" max="44" width="7.88671875" style="8" bestFit="1" customWidth="1"/>
    <col min="45" max="45" width="10.5546875" style="5" bestFit="1" customWidth="1"/>
    <col min="46" max="46" width="9.44140625" style="5" bestFit="1" customWidth="1"/>
    <col min="47" max="47" width="10.5546875" style="5" bestFit="1" customWidth="1"/>
    <col min="48" max="48" width="9.109375" style="8" bestFit="1" customWidth="1"/>
    <col min="49" max="49" width="10.5546875" style="5" bestFit="1" customWidth="1"/>
    <col min="50" max="50" width="9.109375" style="328" customWidth="1"/>
    <col min="51" max="51" width="10.5546875" style="5" hidden="1" customWidth="1"/>
    <col min="52" max="52" width="9.44140625" style="7" hidden="1" customWidth="1"/>
    <col min="53" max="53" width="10.5546875" style="6" bestFit="1" customWidth="1"/>
    <col min="54" max="54" width="8.6640625" style="6" bestFit="1" customWidth="1"/>
    <col min="55" max="55" width="1.88671875" style="4" customWidth="1"/>
    <col min="56" max="16384" width="9.109375" style="4"/>
  </cols>
  <sheetData>
    <row r="1" spans="1:54" ht="23.4" x14ac:dyDescent="0.45">
      <c r="A1" s="1" t="s">
        <v>276</v>
      </c>
      <c r="B1" s="2"/>
      <c r="C1" s="2"/>
      <c r="D1" s="2"/>
      <c r="E1" s="2"/>
      <c r="F1" s="122"/>
      <c r="G1" s="2"/>
      <c r="H1" s="12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122"/>
      <c r="AR1" s="2"/>
      <c r="AS1" s="2"/>
      <c r="AT1" s="2"/>
      <c r="AU1" s="122"/>
      <c r="AV1" s="2"/>
      <c r="AW1" s="122"/>
      <c r="AX1" s="326"/>
      <c r="AY1" s="122"/>
      <c r="AZ1" s="178"/>
      <c r="BA1" s="2"/>
      <c r="BB1" s="3"/>
    </row>
    <row r="2" spans="1:54" x14ac:dyDescent="0.3">
      <c r="A2" s="158"/>
      <c r="B2" s="159"/>
      <c r="C2" s="160"/>
      <c r="D2" s="161"/>
      <c r="E2" s="162"/>
      <c r="F2" s="161"/>
      <c r="G2" s="162"/>
      <c r="H2" s="161"/>
      <c r="I2" s="162"/>
      <c r="J2" s="162"/>
      <c r="K2" s="162"/>
      <c r="L2" s="162"/>
      <c r="M2" s="162"/>
      <c r="N2" s="162"/>
      <c r="O2" s="162"/>
      <c r="P2" s="162"/>
      <c r="Q2" s="161"/>
      <c r="R2" s="163"/>
      <c r="S2" s="162"/>
      <c r="T2" s="162"/>
      <c r="U2" s="161"/>
      <c r="V2" s="163"/>
      <c r="W2" s="161"/>
      <c r="X2" s="163"/>
      <c r="Y2" s="164"/>
      <c r="Z2" s="164"/>
      <c r="AA2" s="164"/>
      <c r="AB2" s="164"/>
      <c r="AC2" s="164"/>
      <c r="AD2" s="164"/>
      <c r="AE2" s="161"/>
      <c r="AF2" s="161"/>
      <c r="AG2" s="161"/>
      <c r="AH2" s="161"/>
      <c r="AI2" s="161"/>
      <c r="AJ2" s="161"/>
      <c r="AK2" s="165"/>
      <c r="AL2" s="161"/>
      <c r="AM2" s="165"/>
      <c r="AN2" s="162"/>
      <c r="AO2" s="162"/>
      <c r="AP2" s="161"/>
      <c r="AQ2" s="161"/>
      <c r="AR2" s="165"/>
      <c r="AS2" s="161"/>
      <c r="AT2" s="161"/>
      <c r="AU2" s="161"/>
      <c r="AV2" s="165"/>
      <c r="AW2" s="161"/>
      <c r="AX2" s="163"/>
      <c r="AY2" s="161"/>
      <c r="AZ2" s="163"/>
      <c r="BA2" s="162"/>
      <c r="BB2" s="166"/>
    </row>
    <row r="3" spans="1:54" ht="15.6" x14ac:dyDescent="0.3">
      <c r="A3" s="157" t="s">
        <v>115</v>
      </c>
      <c r="B3" s="134"/>
      <c r="C3" s="134"/>
      <c r="D3" s="134"/>
      <c r="E3" s="134"/>
      <c r="F3" s="135"/>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5"/>
      <c r="AO3" s="134"/>
      <c r="AP3" s="134"/>
      <c r="AQ3" s="135"/>
      <c r="AR3" s="134"/>
      <c r="AS3" s="134"/>
      <c r="AT3" s="134"/>
      <c r="AU3" s="135"/>
      <c r="AV3" s="134"/>
      <c r="AW3" s="135"/>
      <c r="AX3" s="327"/>
      <c r="AY3" s="135"/>
      <c r="AZ3" s="179"/>
      <c r="BA3" s="134"/>
      <c r="BB3" s="136"/>
    </row>
    <row r="4" spans="1:54" ht="15.6" x14ac:dyDescent="0.3">
      <c r="A4" s="155"/>
      <c r="B4" s="156"/>
      <c r="C4" s="137"/>
      <c r="D4" s="333" t="s">
        <v>123</v>
      </c>
      <c r="E4" s="335"/>
      <c r="F4" s="341" t="s">
        <v>124</v>
      </c>
      <c r="G4" s="342"/>
      <c r="H4" s="342"/>
      <c r="I4" s="342"/>
      <c r="J4" s="342"/>
      <c r="K4" s="342"/>
      <c r="L4" s="342"/>
      <c r="M4" s="342"/>
      <c r="N4" s="342"/>
      <c r="O4" s="342"/>
      <c r="P4" s="343"/>
      <c r="Q4" s="333" t="s">
        <v>97</v>
      </c>
      <c r="R4" s="334"/>
      <c r="S4" s="334"/>
      <c r="T4" s="335"/>
      <c r="U4" s="333" t="s">
        <v>98</v>
      </c>
      <c r="V4" s="334"/>
      <c r="W4" s="334"/>
      <c r="X4" s="334"/>
      <c r="Y4" s="334"/>
      <c r="Z4" s="334"/>
      <c r="AA4" s="334"/>
      <c r="AB4" s="334"/>
      <c r="AC4" s="334"/>
      <c r="AD4" s="335"/>
      <c r="AE4" s="333" t="s">
        <v>100</v>
      </c>
      <c r="AF4" s="334"/>
      <c r="AG4" s="334"/>
      <c r="AH4" s="334"/>
      <c r="AI4" s="335"/>
      <c r="AJ4" s="333" t="s">
        <v>108</v>
      </c>
      <c r="AK4" s="334"/>
      <c r="AL4" s="334"/>
      <c r="AM4" s="335"/>
      <c r="AN4" s="333" t="s">
        <v>109</v>
      </c>
      <c r="AO4" s="334"/>
      <c r="AP4" s="335"/>
      <c r="AQ4" s="336" t="s">
        <v>125</v>
      </c>
      <c r="AR4" s="337"/>
      <c r="AS4" s="337"/>
      <c r="AT4" s="337"/>
      <c r="AU4" s="338" t="s">
        <v>126</v>
      </c>
      <c r="AV4" s="339"/>
      <c r="AW4" s="339"/>
      <c r="AX4" s="339"/>
      <c r="AY4" s="339"/>
      <c r="AZ4" s="339"/>
      <c r="BA4" s="339"/>
      <c r="BB4" s="340"/>
    </row>
    <row r="5" spans="1:54" ht="84" customHeight="1" x14ac:dyDescent="0.3">
      <c r="A5" s="10" t="s">
        <v>0</v>
      </c>
      <c r="B5" s="11" t="s">
        <v>1</v>
      </c>
      <c r="C5" s="126" t="s">
        <v>2</v>
      </c>
      <c r="D5" s="12" t="s">
        <v>275</v>
      </c>
      <c r="E5" s="13" t="s">
        <v>127</v>
      </c>
      <c r="F5" s="12" t="s">
        <v>162</v>
      </c>
      <c r="G5" s="12" t="s">
        <v>163</v>
      </c>
      <c r="H5" s="12" t="s">
        <v>228</v>
      </c>
      <c r="I5" s="12" t="s">
        <v>229</v>
      </c>
      <c r="J5" s="13" t="s">
        <v>130</v>
      </c>
      <c r="K5" s="13" t="s">
        <v>130</v>
      </c>
      <c r="L5" s="13" t="s">
        <v>130</v>
      </c>
      <c r="M5" s="13" t="s">
        <v>130</v>
      </c>
      <c r="N5" s="13" t="s">
        <v>130</v>
      </c>
      <c r="O5" s="13" t="s">
        <v>130</v>
      </c>
      <c r="P5" s="13" t="s">
        <v>130</v>
      </c>
      <c r="Q5" s="12" t="s">
        <v>129</v>
      </c>
      <c r="R5" s="13" t="s">
        <v>127</v>
      </c>
      <c r="S5" s="13" t="s">
        <v>130</v>
      </c>
      <c r="T5" s="13" t="s">
        <v>130</v>
      </c>
      <c r="U5" s="12" t="s">
        <v>162</v>
      </c>
      <c r="V5" s="13" t="s">
        <v>163</v>
      </c>
      <c r="W5" s="12" t="s">
        <v>228</v>
      </c>
      <c r="X5" s="12" t="s">
        <v>229</v>
      </c>
      <c r="Y5" s="138" t="s">
        <v>131</v>
      </c>
      <c r="Z5" s="138" t="s">
        <v>132</v>
      </c>
      <c r="AA5" s="138" t="s">
        <v>133</v>
      </c>
      <c r="AB5" s="138" t="s">
        <v>134</v>
      </c>
      <c r="AC5" s="138" t="s">
        <v>135</v>
      </c>
      <c r="AD5" s="138" t="s">
        <v>136</v>
      </c>
      <c r="AE5" s="12" t="s">
        <v>128</v>
      </c>
      <c r="AF5" s="12" t="s">
        <v>127</v>
      </c>
      <c r="AG5" s="12" t="s">
        <v>130</v>
      </c>
      <c r="AH5" s="12" t="s">
        <v>130</v>
      </c>
      <c r="AI5" s="12" t="s">
        <v>130</v>
      </c>
      <c r="AJ5" s="12" t="s">
        <v>230</v>
      </c>
      <c r="AK5" s="12" t="s">
        <v>137</v>
      </c>
      <c r="AL5" s="12" t="s">
        <v>138</v>
      </c>
      <c r="AM5" s="12" t="s">
        <v>139</v>
      </c>
      <c r="AN5" s="12" t="s">
        <v>140</v>
      </c>
      <c r="AO5" s="13" t="s">
        <v>127</v>
      </c>
      <c r="AP5" s="13" t="s">
        <v>130</v>
      </c>
      <c r="AQ5" s="12" t="s">
        <v>138</v>
      </c>
      <c r="AR5" s="13" t="s">
        <v>127</v>
      </c>
      <c r="AS5" s="12" t="s">
        <v>141</v>
      </c>
      <c r="AT5" s="12" t="s">
        <v>141</v>
      </c>
      <c r="AU5" s="12" t="s">
        <v>142</v>
      </c>
      <c r="AV5" s="12" t="s">
        <v>143</v>
      </c>
      <c r="AW5" s="12" t="s">
        <v>226</v>
      </c>
      <c r="AX5" s="13" t="s">
        <v>227</v>
      </c>
      <c r="AY5" s="12" t="s">
        <v>144</v>
      </c>
      <c r="AZ5" s="13" t="s">
        <v>145</v>
      </c>
      <c r="BA5" s="12" t="s">
        <v>146</v>
      </c>
      <c r="BB5" s="13" t="s">
        <v>70</v>
      </c>
    </row>
    <row r="6" spans="1:54" ht="13.5" customHeight="1" x14ac:dyDescent="0.3">
      <c r="A6" s="14"/>
      <c r="B6" s="15"/>
      <c r="C6" s="127"/>
      <c r="D6" s="16"/>
      <c r="E6" s="17"/>
      <c r="F6" s="106"/>
      <c r="G6" s="17"/>
      <c r="H6" s="106"/>
      <c r="I6" s="17"/>
      <c r="J6" s="20">
        <v>1.1000000000000001</v>
      </c>
      <c r="K6" s="20">
        <v>1.37</v>
      </c>
      <c r="L6" s="20">
        <v>1.47</v>
      </c>
      <c r="M6" s="20">
        <v>1.62</v>
      </c>
      <c r="N6" s="20">
        <v>2</v>
      </c>
      <c r="O6" s="20">
        <v>2.15</v>
      </c>
      <c r="P6" s="20">
        <v>3</v>
      </c>
      <c r="Q6" s="106"/>
      <c r="R6" s="17"/>
      <c r="S6" s="20">
        <v>1.3</v>
      </c>
      <c r="T6" s="20">
        <v>1.5</v>
      </c>
      <c r="U6" s="16"/>
      <c r="V6" s="18"/>
      <c r="W6" s="16"/>
      <c r="X6" s="18"/>
      <c r="Y6" s="19">
        <v>1.1000000000000001</v>
      </c>
      <c r="Z6" s="19">
        <v>1.37</v>
      </c>
      <c r="AA6" s="19">
        <v>1.62</v>
      </c>
      <c r="AB6" s="19">
        <v>1.47</v>
      </c>
      <c r="AC6" s="19">
        <v>2.17</v>
      </c>
      <c r="AD6" s="19">
        <v>3</v>
      </c>
      <c r="AE6" s="16"/>
      <c r="AF6" s="16"/>
      <c r="AG6" s="20">
        <v>1.65</v>
      </c>
      <c r="AH6" s="20">
        <v>2.1</v>
      </c>
      <c r="AI6" s="20">
        <v>3</v>
      </c>
      <c r="AJ6" s="16"/>
      <c r="AK6" s="18"/>
      <c r="AL6" s="16"/>
      <c r="AM6" s="18"/>
      <c r="AN6" s="106"/>
      <c r="AO6" s="17"/>
      <c r="AP6" s="20">
        <v>1.5</v>
      </c>
      <c r="AQ6" s="16"/>
      <c r="AR6" s="16"/>
      <c r="AS6" s="20">
        <v>1.3</v>
      </c>
      <c r="AT6" s="20">
        <v>1.45</v>
      </c>
      <c r="AU6" s="16"/>
      <c r="AV6" s="16"/>
      <c r="AW6" s="16"/>
      <c r="AX6" s="18"/>
      <c r="AY6" s="16"/>
      <c r="AZ6" s="18"/>
      <c r="BA6" s="17"/>
      <c r="BB6" s="17"/>
    </row>
    <row r="7" spans="1:54" s="23" customFormat="1" ht="13.5" customHeight="1" x14ac:dyDescent="0.3">
      <c r="A7" s="21"/>
      <c r="B7" s="22"/>
      <c r="C7" s="185" t="s">
        <v>64</v>
      </c>
      <c r="D7" s="139" t="s">
        <v>65</v>
      </c>
      <c r="E7" s="140" t="s">
        <v>65</v>
      </c>
      <c r="F7" s="139" t="s">
        <v>65</v>
      </c>
      <c r="G7" s="140" t="s">
        <v>65</v>
      </c>
      <c r="H7" s="140" t="s">
        <v>65</v>
      </c>
      <c r="I7" s="140" t="s">
        <v>65</v>
      </c>
      <c r="J7" s="140" t="s">
        <v>65</v>
      </c>
      <c r="K7" s="140" t="s">
        <v>65</v>
      </c>
      <c r="L7" s="140" t="s">
        <v>65</v>
      </c>
      <c r="M7" s="140" t="s">
        <v>65</v>
      </c>
      <c r="N7" s="140" t="s">
        <v>65</v>
      </c>
      <c r="O7" s="140" t="s">
        <v>65</v>
      </c>
      <c r="P7" s="140" t="s">
        <v>65</v>
      </c>
      <c r="Q7" s="140" t="s">
        <v>65</v>
      </c>
      <c r="R7" s="140" t="s">
        <v>65</v>
      </c>
      <c r="S7" s="140" t="s">
        <v>65</v>
      </c>
      <c r="T7" s="140" t="s">
        <v>65</v>
      </c>
      <c r="U7" s="140" t="s">
        <v>65</v>
      </c>
      <c r="V7" s="140" t="s">
        <v>65</v>
      </c>
      <c r="W7" s="140" t="s">
        <v>65</v>
      </c>
      <c r="X7" s="140" t="s">
        <v>65</v>
      </c>
      <c r="Y7" s="140" t="s">
        <v>65</v>
      </c>
      <c r="Z7" s="140" t="s">
        <v>65</v>
      </c>
      <c r="AA7" s="140" t="s">
        <v>65</v>
      </c>
      <c r="AB7" s="140" t="s">
        <v>65</v>
      </c>
      <c r="AC7" s="140" t="s">
        <v>65</v>
      </c>
      <c r="AD7" s="140" t="s">
        <v>65</v>
      </c>
      <c r="AE7" s="140" t="s">
        <v>65</v>
      </c>
      <c r="AF7" s="140" t="s">
        <v>65</v>
      </c>
      <c r="AG7" s="140" t="s">
        <v>65</v>
      </c>
      <c r="AH7" s="140" t="s">
        <v>65</v>
      </c>
      <c r="AI7" s="140" t="s">
        <v>65</v>
      </c>
      <c r="AJ7" s="140" t="s">
        <v>65</v>
      </c>
      <c r="AK7" s="140" t="s">
        <v>65</v>
      </c>
      <c r="AL7" s="140" t="s">
        <v>65</v>
      </c>
      <c r="AM7" s="140" t="s">
        <v>65</v>
      </c>
      <c r="AN7" s="139" t="s">
        <v>65</v>
      </c>
      <c r="AO7" s="140" t="s">
        <v>65</v>
      </c>
      <c r="AP7" s="140" t="s">
        <v>65</v>
      </c>
      <c r="AQ7" s="139" t="s">
        <v>65</v>
      </c>
      <c r="AR7" s="140" t="s">
        <v>65</v>
      </c>
      <c r="AS7" s="140" t="s">
        <v>65</v>
      </c>
      <c r="AT7" s="140" t="s">
        <v>65</v>
      </c>
      <c r="AU7" s="139" t="s">
        <v>65</v>
      </c>
      <c r="AV7" s="140" t="s">
        <v>65</v>
      </c>
      <c r="AW7" s="139" t="s">
        <v>65</v>
      </c>
      <c r="AX7" s="140" t="s">
        <v>65</v>
      </c>
      <c r="AY7" s="139" t="s">
        <v>65</v>
      </c>
      <c r="AZ7" s="140" t="s">
        <v>65</v>
      </c>
      <c r="BA7" s="140" t="s">
        <v>65</v>
      </c>
      <c r="BB7" s="140" t="s">
        <v>65</v>
      </c>
    </row>
    <row r="8" spans="1:54" x14ac:dyDescent="0.3">
      <c r="A8" s="24"/>
      <c r="B8" s="25" t="s">
        <v>3</v>
      </c>
      <c r="C8" s="26"/>
      <c r="D8" s="27"/>
      <c r="E8" s="28"/>
      <c r="F8" s="27"/>
      <c r="G8" s="28"/>
      <c r="H8" s="27"/>
      <c r="I8" s="28"/>
      <c r="J8" s="28"/>
      <c r="K8" s="28"/>
      <c r="L8" s="28"/>
      <c r="M8" s="28"/>
      <c r="N8" s="28"/>
      <c r="O8" s="28"/>
      <c r="P8" s="28"/>
      <c r="Q8" s="29"/>
      <c r="R8" s="28"/>
      <c r="S8" s="28"/>
      <c r="T8" s="28"/>
      <c r="U8" s="29"/>
      <c r="V8" s="28"/>
      <c r="W8" s="29"/>
      <c r="X8" s="28"/>
      <c r="Y8" s="30"/>
      <c r="Z8" s="30"/>
      <c r="AA8" s="31"/>
      <c r="AB8" s="31"/>
      <c r="AC8" s="31"/>
      <c r="AD8" s="31"/>
      <c r="AE8" s="29"/>
      <c r="AF8" s="28"/>
      <c r="AG8" s="27"/>
      <c r="AH8" s="27"/>
      <c r="AI8" s="27"/>
      <c r="AJ8" s="27"/>
      <c r="AK8" s="27"/>
      <c r="AL8" s="27"/>
      <c r="AM8" s="27"/>
      <c r="AN8" s="28"/>
      <c r="AO8" s="28"/>
      <c r="AP8" s="27"/>
      <c r="AQ8" s="27"/>
      <c r="AR8" s="27"/>
      <c r="AS8" s="27"/>
      <c r="AT8" s="27"/>
      <c r="AU8" s="27"/>
      <c r="AV8" s="27"/>
      <c r="AW8" s="27"/>
      <c r="AX8" s="28"/>
      <c r="AY8" s="27"/>
      <c r="AZ8" s="28"/>
      <c r="BA8" s="28"/>
      <c r="BB8" s="131"/>
    </row>
    <row r="9" spans="1:54" x14ac:dyDescent="0.3">
      <c r="A9" s="186"/>
      <c r="B9" s="187"/>
      <c r="C9" s="188"/>
      <c r="D9" s="189"/>
      <c r="E9" s="190"/>
      <c r="F9" s="189"/>
      <c r="G9" s="190"/>
      <c r="H9" s="189"/>
      <c r="I9" s="190"/>
      <c r="J9" s="191"/>
      <c r="K9" s="191"/>
      <c r="L9" s="191"/>
      <c r="M9" s="191"/>
      <c r="N9" s="191"/>
      <c r="O9" s="191"/>
      <c r="P9" s="191"/>
      <c r="Q9" s="192"/>
      <c r="R9" s="193"/>
      <c r="S9" s="191"/>
      <c r="T9" s="191"/>
      <c r="U9" s="192"/>
      <c r="V9" s="193"/>
      <c r="W9" s="192"/>
      <c r="X9" s="193"/>
      <c r="Y9" s="194"/>
      <c r="Z9" s="194"/>
      <c r="AA9" s="195"/>
      <c r="AB9" s="195"/>
      <c r="AC9" s="195"/>
      <c r="AD9" s="195"/>
      <c r="AE9" s="196"/>
      <c r="AF9" s="196"/>
      <c r="AG9" s="197"/>
      <c r="AH9" s="197"/>
      <c r="AI9" s="197"/>
      <c r="AJ9" s="192"/>
      <c r="AK9" s="198"/>
      <c r="AL9" s="192"/>
      <c r="AM9" s="198"/>
      <c r="AN9" s="199"/>
      <c r="AO9" s="200"/>
      <c r="AP9" s="197"/>
      <c r="AQ9" s="189"/>
      <c r="AR9" s="198"/>
      <c r="AS9" s="197"/>
      <c r="AT9" s="197"/>
      <c r="AU9" s="189"/>
      <c r="AV9" s="198"/>
      <c r="AW9" s="189"/>
      <c r="AX9" s="193"/>
      <c r="AY9" s="189"/>
      <c r="AZ9" s="193"/>
      <c r="BA9" s="199"/>
      <c r="BB9" s="200"/>
    </row>
    <row r="10" spans="1:54" x14ac:dyDescent="0.3">
      <c r="A10" s="35"/>
      <c r="B10" s="36" t="s">
        <v>67</v>
      </c>
      <c r="C10" s="37"/>
      <c r="D10" s="38"/>
      <c r="E10" s="39"/>
      <c r="F10" s="42"/>
      <c r="G10" s="39"/>
      <c r="H10" s="42"/>
      <c r="I10" s="39"/>
      <c r="J10" s="107"/>
      <c r="K10" s="107"/>
      <c r="L10" s="107"/>
      <c r="M10" s="107"/>
      <c r="N10" s="107"/>
      <c r="O10" s="107"/>
      <c r="P10" s="107"/>
      <c r="Q10" s="40"/>
      <c r="R10" s="41"/>
      <c r="S10" s="107"/>
      <c r="T10" s="107"/>
      <c r="U10" s="40"/>
      <c r="V10" s="41"/>
      <c r="W10" s="40"/>
      <c r="X10" s="41"/>
      <c r="Y10" s="108"/>
      <c r="Z10" s="108"/>
      <c r="AA10" s="109"/>
      <c r="AB10" s="109"/>
      <c r="AC10" s="109"/>
      <c r="AD10" s="109"/>
      <c r="AE10" s="42"/>
      <c r="AF10" s="43"/>
      <c r="AG10" s="110"/>
      <c r="AH10" s="110"/>
      <c r="AI10" s="110"/>
      <c r="AJ10" s="42"/>
      <c r="AK10" s="43"/>
      <c r="AL10" s="42"/>
      <c r="AM10" s="43"/>
      <c r="AN10" s="40"/>
      <c r="AO10" s="43"/>
      <c r="AP10" s="110"/>
      <c r="AQ10" s="42"/>
      <c r="AR10" s="43"/>
      <c r="AS10" s="110"/>
      <c r="AT10" s="110"/>
      <c r="AU10" s="42"/>
      <c r="AV10" s="43"/>
      <c r="AW10" s="42"/>
      <c r="AX10" s="43"/>
      <c r="AY10" s="221"/>
      <c r="AZ10" s="43"/>
      <c r="BA10" s="40"/>
      <c r="BB10" s="43"/>
    </row>
    <row r="11" spans="1:54" x14ac:dyDescent="0.3">
      <c r="A11" s="44" t="s">
        <v>4</v>
      </c>
      <c r="B11" s="45" t="s">
        <v>23</v>
      </c>
      <c r="C11" s="46">
        <v>15</v>
      </c>
      <c r="D11" s="42">
        <f t="shared" ref="D11:D30" si="0">ROUND(E11*C11,1)</f>
        <v>1129</v>
      </c>
      <c r="E11" s="123">
        <f>RCFs!C$43</f>
        <v>75.268515088574986</v>
      </c>
      <c r="F11" s="124">
        <f t="shared" ref="F11:F30" si="1">ROUNDDOWN((H11/1.039),1)</f>
        <v>432.6</v>
      </c>
      <c r="G11" s="39">
        <f>F11/C11</f>
        <v>28.84</v>
      </c>
      <c r="H11" s="124">
        <v>449.5</v>
      </c>
      <c r="I11" s="39">
        <f>H11/C11</f>
        <v>29.966666666666665</v>
      </c>
      <c r="J11" s="111">
        <f t="shared" ref="J11:P27" si="2">ROUND($C11*$I11*J$6,1)</f>
        <v>494.5</v>
      </c>
      <c r="K11" s="111">
        <f t="shared" si="2"/>
        <v>615.79999999999995</v>
      </c>
      <c r="L11" s="111">
        <f t="shared" si="2"/>
        <v>660.8</v>
      </c>
      <c r="M11" s="111">
        <f t="shared" si="2"/>
        <v>728.2</v>
      </c>
      <c r="N11" s="111">
        <f t="shared" si="2"/>
        <v>899</v>
      </c>
      <c r="O11" s="111">
        <f t="shared" si="2"/>
        <v>966.4</v>
      </c>
      <c r="P11" s="111">
        <f t="shared" si="2"/>
        <v>1348.5</v>
      </c>
      <c r="Q11" s="124">
        <v>467.5</v>
      </c>
      <c r="R11" s="43">
        <f>Q11/C11</f>
        <v>31.166666666666668</v>
      </c>
      <c r="S11" s="111">
        <f>ROUNDDOWN($Q11*S$6,1)</f>
        <v>607.70000000000005</v>
      </c>
      <c r="T11" s="111">
        <f>ROUNDDOWN($Q11*T$6,1)</f>
        <v>701.2</v>
      </c>
      <c r="U11" s="124">
        <v>303</v>
      </c>
      <c r="V11" s="43">
        <f>U11/C11</f>
        <v>20.2</v>
      </c>
      <c r="W11" s="124">
        <v>322.89999999999998</v>
      </c>
      <c r="X11" s="43">
        <f t="shared" ref="X11:X20" si="3">W11/C11</f>
        <v>21.526666666666664</v>
      </c>
      <c r="Y11" s="111">
        <f>ROUNDDOWN($W11*Y$6,1)</f>
        <v>355.1</v>
      </c>
      <c r="Z11" s="111">
        <f t="shared" ref="Z11:AD27" si="4">ROUNDDOWN($W11*Z$6,1)</f>
        <v>442.3</v>
      </c>
      <c r="AA11" s="111">
        <f t="shared" si="4"/>
        <v>523</v>
      </c>
      <c r="AB11" s="111">
        <f t="shared" si="4"/>
        <v>474.6</v>
      </c>
      <c r="AC11" s="111">
        <f t="shared" si="4"/>
        <v>700.6</v>
      </c>
      <c r="AD11" s="111">
        <f t="shared" si="4"/>
        <v>968.7</v>
      </c>
      <c r="AE11" s="42">
        <v>463.4</v>
      </c>
      <c r="AF11" s="125">
        <f t="shared" ref="AF11:AF30" si="5">AE11/C11</f>
        <v>30.893333333333331</v>
      </c>
      <c r="AG11" s="110">
        <f t="shared" ref="AG11:AI30" si="6">ROUND($AE11*AG$6,1)</f>
        <v>764.6</v>
      </c>
      <c r="AH11" s="110">
        <f t="shared" si="6"/>
        <v>973.1</v>
      </c>
      <c r="AI11" s="110">
        <f t="shared" si="6"/>
        <v>1390.2</v>
      </c>
      <c r="AJ11" s="124">
        <v>446.9</v>
      </c>
      <c r="AK11" s="43">
        <f>AJ11/C11</f>
        <v>29.793333333333333</v>
      </c>
      <c r="AL11" s="124">
        <v>607.79999999999995</v>
      </c>
      <c r="AM11" s="43">
        <f t="shared" ref="AM11:AM30" si="7">AL11/C11</f>
        <v>40.519999999999996</v>
      </c>
      <c r="AN11" s="42">
        <v>486.9</v>
      </c>
      <c r="AO11" s="43">
        <f>AN11/C11</f>
        <v>32.46</v>
      </c>
      <c r="AP11" s="110">
        <f>ROUNDDOWN($AN11*AP$6,1)</f>
        <v>730.3</v>
      </c>
      <c r="AQ11" s="42">
        <v>487.5</v>
      </c>
      <c r="AR11" s="43">
        <f>AQ11/C11</f>
        <v>32.5</v>
      </c>
      <c r="AS11" s="110">
        <f>ROUNDDOWN($AQ11*AS$6,1)</f>
        <v>633.70000000000005</v>
      </c>
      <c r="AT11" s="110">
        <f>ROUNDDOWN($AQ11*AT$6,1)</f>
        <v>706.8</v>
      </c>
      <c r="AU11" s="42">
        <v>472.4</v>
      </c>
      <c r="AV11" s="43">
        <f>AU11/C11</f>
        <v>31.493333333333332</v>
      </c>
      <c r="AW11" s="42">
        <v>480.2</v>
      </c>
      <c r="AX11" s="43">
        <f>AW11/C11</f>
        <v>32.013333333333335</v>
      </c>
      <c r="AY11" s="42"/>
      <c r="AZ11" s="43">
        <f>AY11/C11</f>
        <v>0</v>
      </c>
      <c r="BA11" s="175">
        <f t="shared" ref="BA11:BA19" si="8">ROUNDDOWN(C11*BB11,1)</f>
        <v>461.8</v>
      </c>
      <c r="BB11" s="125">
        <f>RCFs!I$41</f>
        <v>30.791</v>
      </c>
    </row>
    <row r="12" spans="1:54" x14ac:dyDescent="0.3">
      <c r="A12" s="44" t="s">
        <v>15</v>
      </c>
      <c r="B12" s="45" t="s">
        <v>24</v>
      </c>
      <c r="C12" s="46">
        <v>45</v>
      </c>
      <c r="D12" s="42">
        <f t="shared" si="0"/>
        <v>3387.1</v>
      </c>
      <c r="E12" s="123">
        <f>RCFs!C$43</f>
        <v>75.268515088574986</v>
      </c>
      <c r="F12" s="124">
        <f t="shared" si="1"/>
        <v>1298</v>
      </c>
      <c r="G12" s="39">
        <f t="shared" ref="G12:G30" si="9">F12/C12</f>
        <v>28.844444444444445</v>
      </c>
      <c r="H12" s="124">
        <v>1348.7</v>
      </c>
      <c r="I12" s="39">
        <f t="shared" ref="I12:I30" si="10">H12/C12</f>
        <v>29.971111111111114</v>
      </c>
      <c r="J12" s="111">
        <f t="shared" si="2"/>
        <v>1483.6</v>
      </c>
      <c r="K12" s="111">
        <f t="shared" si="2"/>
        <v>1847.7</v>
      </c>
      <c r="L12" s="111">
        <f t="shared" si="2"/>
        <v>1982.6</v>
      </c>
      <c r="M12" s="111">
        <f t="shared" si="2"/>
        <v>2184.9</v>
      </c>
      <c r="N12" s="111">
        <f t="shared" si="2"/>
        <v>2697.4</v>
      </c>
      <c r="O12" s="111">
        <f t="shared" si="2"/>
        <v>2899.7</v>
      </c>
      <c r="P12" s="111">
        <f t="shared" si="2"/>
        <v>4046.1</v>
      </c>
      <c r="Q12" s="124">
        <v>1402.5</v>
      </c>
      <c r="R12" s="43">
        <f t="shared" ref="R12:R36" si="11">Q12/C12</f>
        <v>31.166666666666668</v>
      </c>
      <c r="S12" s="111">
        <f>ROUNDDOWN($Q12*S$6,1)</f>
        <v>1823.2</v>
      </c>
      <c r="T12" s="111">
        <f t="shared" ref="T12:T36" si="12">ROUNDDOWN($Q12*T$6,1)</f>
        <v>2103.6999999999998</v>
      </c>
      <c r="U12" s="124">
        <v>1269</v>
      </c>
      <c r="V12" s="43">
        <f t="shared" ref="V12:V36" si="13">U12/C12</f>
        <v>28.2</v>
      </c>
      <c r="W12" s="124">
        <v>1351.6</v>
      </c>
      <c r="X12" s="43">
        <f t="shared" si="3"/>
        <v>30.035555555555554</v>
      </c>
      <c r="Y12" s="111">
        <f t="shared" ref="Y12:AD29" si="14">ROUNDDOWN($W12*Y$6,1)</f>
        <v>1486.7</v>
      </c>
      <c r="Z12" s="111">
        <f t="shared" si="4"/>
        <v>1851.6</v>
      </c>
      <c r="AA12" s="111">
        <f t="shared" si="4"/>
        <v>2189.5</v>
      </c>
      <c r="AB12" s="111">
        <f t="shared" si="4"/>
        <v>1986.8</v>
      </c>
      <c r="AC12" s="111">
        <f t="shared" si="4"/>
        <v>2932.9</v>
      </c>
      <c r="AD12" s="111">
        <f t="shared" si="4"/>
        <v>4054.8</v>
      </c>
      <c r="AE12" s="46">
        <v>1390.8</v>
      </c>
      <c r="AF12" s="125">
        <f t="shared" si="5"/>
        <v>30.906666666666666</v>
      </c>
      <c r="AG12" s="110">
        <f t="shared" si="6"/>
        <v>2294.8000000000002</v>
      </c>
      <c r="AH12" s="110">
        <f t="shared" si="6"/>
        <v>2920.7</v>
      </c>
      <c r="AI12" s="110">
        <f t="shared" si="6"/>
        <v>4172.3999999999996</v>
      </c>
      <c r="AJ12" s="124">
        <v>0</v>
      </c>
      <c r="AK12" s="43">
        <f t="shared" ref="AK12:AK30" si="15">AJ12/C12</f>
        <v>0</v>
      </c>
      <c r="AL12" s="124">
        <v>0</v>
      </c>
      <c r="AM12" s="43">
        <f t="shared" si="7"/>
        <v>0</v>
      </c>
      <c r="AN12" s="42"/>
      <c r="AO12" s="43">
        <f t="shared" ref="AO12:AO30" si="16">AN12/C12</f>
        <v>0</v>
      </c>
      <c r="AP12" s="110">
        <f t="shared" ref="AP12:AP30" si="17">ROUNDDOWN($AN12*AP$6,1)</f>
        <v>0</v>
      </c>
      <c r="AQ12" s="42">
        <v>1463.8</v>
      </c>
      <c r="AR12" s="43">
        <f t="shared" ref="AR12:AR30" si="18">AQ12/C12</f>
        <v>32.528888888888886</v>
      </c>
      <c r="AS12" s="110">
        <f t="shared" ref="AS12:AT30" si="19">ROUNDDOWN($AQ12*AS$6,1)</f>
        <v>1902.9</v>
      </c>
      <c r="AT12" s="110">
        <f t="shared" si="19"/>
        <v>2122.5</v>
      </c>
      <c r="AU12" s="42">
        <v>1416.5</v>
      </c>
      <c r="AV12" s="43">
        <f t="shared" ref="AV12:AV30" si="20">AU12/C12</f>
        <v>31.477777777777778</v>
      </c>
      <c r="AW12" s="124">
        <v>0</v>
      </c>
      <c r="AX12" s="43">
        <f t="shared" ref="AX12:AX30" si="21">AW12/C12</f>
        <v>0</v>
      </c>
      <c r="AY12" s="42"/>
      <c r="AZ12" s="43">
        <f t="shared" ref="AZ12:AZ20" si="22">AY12/C12</f>
        <v>0</v>
      </c>
      <c r="BA12" s="175">
        <f t="shared" si="8"/>
        <v>1385.5</v>
      </c>
      <c r="BB12" s="125">
        <f>RCFs!I$41</f>
        <v>30.791</v>
      </c>
    </row>
    <row r="13" spans="1:54" x14ac:dyDescent="0.3">
      <c r="A13" s="44" t="s">
        <v>5</v>
      </c>
      <c r="B13" s="45" t="s">
        <v>6</v>
      </c>
      <c r="C13" s="46">
        <v>15</v>
      </c>
      <c r="D13" s="42">
        <f t="shared" si="0"/>
        <v>1129</v>
      </c>
      <c r="E13" s="123">
        <f>RCFs!C$43</f>
        <v>75.268515088574986</v>
      </c>
      <c r="F13" s="124">
        <f t="shared" si="1"/>
        <v>432.6</v>
      </c>
      <c r="G13" s="39">
        <f t="shared" si="9"/>
        <v>28.84</v>
      </c>
      <c r="H13" s="124">
        <v>449.5</v>
      </c>
      <c r="I13" s="39">
        <f t="shared" si="10"/>
        <v>29.966666666666665</v>
      </c>
      <c r="J13" s="111">
        <f t="shared" si="2"/>
        <v>494.5</v>
      </c>
      <c r="K13" s="111">
        <f t="shared" si="2"/>
        <v>615.79999999999995</v>
      </c>
      <c r="L13" s="111">
        <f t="shared" si="2"/>
        <v>660.8</v>
      </c>
      <c r="M13" s="111">
        <f t="shared" si="2"/>
        <v>728.2</v>
      </c>
      <c r="N13" s="111">
        <f t="shared" si="2"/>
        <v>899</v>
      </c>
      <c r="O13" s="111">
        <f t="shared" si="2"/>
        <v>966.4</v>
      </c>
      <c r="P13" s="111">
        <f t="shared" si="2"/>
        <v>1348.5</v>
      </c>
      <c r="Q13" s="124">
        <v>467.5</v>
      </c>
      <c r="R13" s="43">
        <f t="shared" si="11"/>
        <v>31.166666666666668</v>
      </c>
      <c r="S13" s="111">
        <f t="shared" ref="S13:S36" si="23">ROUNDDOWN($Q13*S$6,1)</f>
        <v>607.70000000000005</v>
      </c>
      <c r="T13" s="111">
        <f t="shared" si="12"/>
        <v>701.2</v>
      </c>
      <c r="U13" s="124">
        <v>422.9</v>
      </c>
      <c r="V13" s="43">
        <f t="shared" si="13"/>
        <v>28.193333333333332</v>
      </c>
      <c r="W13" s="124">
        <v>450.4</v>
      </c>
      <c r="X13" s="43">
        <f t="shared" si="3"/>
        <v>30.026666666666664</v>
      </c>
      <c r="Y13" s="111">
        <f t="shared" si="14"/>
        <v>495.4</v>
      </c>
      <c r="Z13" s="111">
        <f t="shared" si="4"/>
        <v>617</v>
      </c>
      <c r="AA13" s="111">
        <f t="shared" si="4"/>
        <v>729.6</v>
      </c>
      <c r="AB13" s="111">
        <f t="shared" si="4"/>
        <v>662</v>
      </c>
      <c r="AC13" s="111">
        <f t="shared" si="4"/>
        <v>977.3</v>
      </c>
      <c r="AD13" s="111">
        <f t="shared" si="4"/>
        <v>1351.2</v>
      </c>
      <c r="AE13" s="42">
        <v>463.4</v>
      </c>
      <c r="AF13" s="125">
        <f t="shared" si="5"/>
        <v>30.893333333333331</v>
      </c>
      <c r="AG13" s="110">
        <f t="shared" si="6"/>
        <v>764.6</v>
      </c>
      <c r="AH13" s="110">
        <f t="shared" si="6"/>
        <v>973.1</v>
      </c>
      <c r="AI13" s="110">
        <f t="shared" si="6"/>
        <v>1390.2</v>
      </c>
      <c r="AJ13" s="124">
        <v>437.7</v>
      </c>
      <c r="AK13" s="43">
        <f t="shared" si="15"/>
        <v>29.18</v>
      </c>
      <c r="AL13" s="124">
        <v>607.79999999999995</v>
      </c>
      <c r="AM13" s="43">
        <f t="shared" si="7"/>
        <v>40.519999999999996</v>
      </c>
      <c r="AN13" s="42">
        <v>486.9</v>
      </c>
      <c r="AO13" s="43">
        <f t="shared" si="16"/>
        <v>32.46</v>
      </c>
      <c r="AP13" s="110">
        <f t="shared" si="17"/>
        <v>730.3</v>
      </c>
      <c r="AQ13" s="42">
        <v>487.5</v>
      </c>
      <c r="AR13" s="43">
        <f t="shared" si="18"/>
        <v>32.5</v>
      </c>
      <c r="AS13" s="110">
        <f t="shared" si="19"/>
        <v>633.70000000000005</v>
      </c>
      <c r="AT13" s="110">
        <f t="shared" si="19"/>
        <v>706.8</v>
      </c>
      <c r="AU13" s="42">
        <v>472.4</v>
      </c>
      <c r="AV13" s="43">
        <f t="shared" si="20"/>
        <v>31.493333333333332</v>
      </c>
      <c r="AW13" s="42">
        <v>480.2</v>
      </c>
      <c r="AX13" s="43">
        <f t="shared" si="21"/>
        <v>32.013333333333335</v>
      </c>
      <c r="AY13" s="42"/>
      <c r="AZ13" s="43">
        <f t="shared" si="22"/>
        <v>0</v>
      </c>
      <c r="BA13" s="175">
        <f t="shared" si="8"/>
        <v>461.8</v>
      </c>
      <c r="BB13" s="125">
        <f>RCFs!I$41</f>
        <v>30.791</v>
      </c>
    </row>
    <row r="14" spans="1:54" x14ac:dyDescent="0.3">
      <c r="A14" s="47" t="s">
        <v>27</v>
      </c>
      <c r="B14" s="48" t="s">
        <v>41</v>
      </c>
      <c r="C14" s="46">
        <v>12</v>
      </c>
      <c r="D14" s="42">
        <f t="shared" si="0"/>
        <v>903.2</v>
      </c>
      <c r="E14" s="123">
        <f>RCFs!C$43</f>
        <v>75.268515088574986</v>
      </c>
      <c r="F14" s="124">
        <f t="shared" si="1"/>
        <v>374.8</v>
      </c>
      <c r="G14" s="39">
        <f t="shared" si="9"/>
        <v>31.233333333333334</v>
      </c>
      <c r="H14" s="124">
        <v>389.5</v>
      </c>
      <c r="I14" s="39">
        <f t="shared" si="10"/>
        <v>32.458333333333336</v>
      </c>
      <c r="J14" s="111">
        <f t="shared" si="2"/>
        <v>428.5</v>
      </c>
      <c r="K14" s="111">
        <f t="shared" si="2"/>
        <v>533.6</v>
      </c>
      <c r="L14" s="111">
        <f t="shared" si="2"/>
        <v>572.6</v>
      </c>
      <c r="M14" s="111">
        <f t="shared" si="2"/>
        <v>631</v>
      </c>
      <c r="N14" s="111">
        <f t="shared" si="2"/>
        <v>779</v>
      </c>
      <c r="O14" s="111">
        <f t="shared" si="2"/>
        <v>837.4</v>
      </c>
      <c r="P14" s="111">
        <f t="shared" si="2"/>
        <v>1168.5</v>
      </c>
      <c r="Q14" s="124">
        <v>560.9</v>
      </c>
      <c r="R14" s="43">
        <f t="shared" si="11"/>
        <v>46.741666666666667</v>
      </c>
      <c r="S14" s="111">
        <f t="shared" si="23"/>
        <v>729.1</v>
      </c>
      <c r="T14" s="111">
        <f t="shared" si="12"/>
        <v>841.3</v>
      </c>
      <c r="U14" s="124">
        <v>387.9</v>
      </c>
      <c r="V14" s="43">
        <f t="shared" si="13"/>
        <v>32.324999999999996</v>
      </c>
      <c r="W14" s="124">
        <v>413</v>
      </c>
      <c r="X14" s="43">
        <f t="shared" si="3"/>
        <v>34.416666666666664</v>
      </c>
      <c r="Y14" s="111">
        <f t="shared" si="14"/>
        <v>454.3</v>
      </c>
      <c r="Z14" s="111">
        <f t="shared" si="4"/>
        <v>565.79999999999995</v>
      </c>
      <c r="AA14" s="111">
        <f t="shared" si="4"/>
        <v>669</v>
      </c>
      <c r="AB14" s="111">
        <f t="shared" si="4"/>
        <v>607.1</v>
      </c>
      <c r="AC14" s="111">
        <f t="shared" si="4"/>
        <v>896.2</v>
      </c>
      <c r="AD14" s="111">
        <f t="shared" si="4"/>
        <v>1239</v>
      </c>
      <c r="AE14" s="42">
        <v>556.1</v>
      </c>
      <c r="AF14" s="125">
        <f t="shared" si="5"/>
        <v>46.341666666666669</v>
      </c>
      <c r="AG14" s="110">
        <f t="shared" si="6"/>
        <v>917.6</v>
      </c>
      <c r="AH14" s="110">
        <f t="shared" si="6"/>
        <v>1167.8</v>
      </c>
      <c r="AI14" s="110">
        <f t="shared" si="6"/>
        <v>1668.3</v>
      </c>
      <c r="AJ14" s="124">
        <v>523</v>
      </c>
      <c r="AK14" s="43">
        <f t="shared" si="15"/>
        <v>43.583333333333336</v>
      </c>
      <c r="AL14" s="124">
        <v>711.4</v>
      </c>
      <c r="AM14" s="43">
        <f t="shared" si="7"/>
        <v>59.283333333333331</v>
      </c>
      <c r="AN14" s="42">
        <v>585.1</v>
      </c>
      <c r="AO14" s="43">
        <f t="shared" si="16"/>
        <v>48.758333333333333</v>
      </c>
      <c r="AP14" s="110">
        <f t="shared" si="17"/>
        <v>877.6</v>
      </c>
      <c r="AQ14" s="42">
        <v>585.5</v>
      </c>
      <c r="AR14" s="43">
        <f t="shared" si="18"/>
        <v>48.791666666666664</v>
      </c>
      <c r="AS14" s="110">
        <f t="shared" si="19"/>
        <v>761.1</v>
      </c>
      <c r="AT14" s="110">
        <f t="shared" si="19"/>
        <v>848.9</v>
      </c>
      <c r="AU14" s="42">
        <v>378</v>
      </c>
      <c r="AV14" s="43">
        <f t="shared" si="20"/>
        <v>31.5</v>
      </c>
      <c r="AW14" s="42">
        <v>0</v>
      </c>
      <c r="AX14" s="43">
        <f t="shared" si="21"/>
        <v>0</v>
      </c>
      <c r="AY14" s="42"/>
      <c r="AZ14" s="43">
        <f t="shared" si="22"/>
        <v>0</v>
      </c>
      <c r="BA14" s="175">
        <f t="shared" si="8"/>
        <v>369.4</v>
      </c>
      <c r="BB14" s="125">
        <f>RCFs!I$41</f>
        <v>30.791</v>
      </c>
    </row>
    <row r="15" spans="1:54" x14ac:dyDescent="0.3">
      <c r="A15" s="44" t="s">
        <v>7</v>
      </c>
      <c r="B15" s="45" t="s">
        <v>8</v>
      </c>
      <c r="C15" s="46">
        <v>5</v>
      </c>
      <c r="D15" s="42">
        <f t="shared" si="0"/>
        <v>376.3</v>
      </c>
      <c r="E15" s="123">
        <f>RCFs!C$43</f>
        <v>75.268515088574986</v>
      </c>
      <c r="F15" s="124">
        <f t="shared" si="1"/>
        <v>144.30000000000001</v>
      </c>
      <c r="G15" s="39">
        <f t="shared" si="9"/>
        <v>28.860000000000003</v>
      </c>
      <c r="H15" s="124">
        <v>150</v>
      </c>
      <c r="I15" s="39">
        <f t="shared" si="10"/>
        <v>30</v>
      </c>
      <c r="J15" s="111">
        <f t="shared" si="2"/>
        <v>165</v>
      </c>
      <c r="K15" s="111">
        <f t="shared" si="2"/>
        <v>205.5</v>
      </c>
      <c r="L15" s="111">
        <f t="shared" si="2"/>
        <v>220.5</v>
      </c>
      <c r="M15" s="111">
        <f t="shared" si="2"/>
        <v>243</v>
      </c>
      <c r="N15" s="111">
        <f t="shared" si="2"/>
        <v>300</v>
      </c>
      <c r="O15" s="111">
        <f t="shared" si="2"/>
        <v>322.5</v>
      </c>
      <c r="P15" s="111">
        <f t="shared" si="2"/>
        <v>450</v>
      </c>
      <c r="Q15" s="124">
        <v>156.19999999999999</v>
      </c>
      <c r="R15" s="43">
        <f t="shared" si="11"/>
        <v>31.24</v>
      </c>
      <c r="S15" s="111">
        <f t="shared" si="23"/>
        <v>203</v>
      </c>
      <c r="T15" s="111">
        <f t="shared" si="12"/>
        <v>234.3</v>
      </c>
      <c r="U15" s="124">
        <v>140.9</v>
      </c>
      <c r="V15" s="43">
        <f t="shared" si="13"/>
        <v>28.18</v>
      </c>
      <c r="W15" s="124">
        <v>149.80000000000001</v>
      </c>
      <c r="X15" s="43">
        <f t="shared" si="3"/>
        <v>29.96</v>
      </c>
      <c r="Y15" s="111">
        <f t="shared" si="14"/>
        <v>164.7</v>
      </c>
      <c r="Z15" s="111">
        <f t="shared" si="4"/>
        <v>205.2</v>
      </c>
      <c r="AA15" s="111">
        <f t="shared" si="4"/>
        <v>242.6</v>
      </c>
      <c r="AB15" s="111">
        <f t="shared" si="4"/>
        <v>220.2</v>
      </c>
      <c r="AC15" s="111">
        <f t="shared" si="4"/>
        <v>325</v>
      </c>
      <c r="AD15" s="111">
        <f t="shared" si="4"/>
        <v>449.4</v>
      </c>
      <c r="AE15" s="42">
        <v>154.9</v>
      </c>
      <c r="AF15" s="125">
        <f t="shared" si="5"/>
        <v>30.98</v>
      </c>
      <c r="AG15" s="110">
        <f t="shared" si="6"/>
        <v>255.6</v>
      </c>
      <c r="AH15" s="110">
        <f t="shared" si="6"/>
        <v>325.3</v>
      </c>
      <c r="AI15" s="110">
        <f t="shared" si="6"/>
        <v>464.7</v>
      </c>
      <c r="AJ15" s="124">
        <v>148.9</v>
      </c>
      <c r="AK15" s="43">
        <f t="shared" si="15"/>
        <v>29.78</v>
      </c>
      <c r="AL15" s="124">
        <v>202.9</v>
      </c>
      <c r="AM15" s="43">
        <f t="shared" si="7"/>
        <v>40.58</v>
      </c>
      <c r="AN15" s="42">
        <v>162.69999999999999</v>
      </c>
      <c r="AO15" s="43">
        <f t="shared" si="16"/>
        <v>32.54</v>
      </c>
      <c r="AP15" s="110">
        <f t="shared" si="17"/>
        <v>244</v>
      </c>
      <c r="AQ15" s="42">
        <v>162.4</v>
      </c>
      <c r="AR15" s="43">
        <f t="shared" si="18"/>
        <v>32.480000000000004</v>
      </c>
      <c r="AS15" s="110">
        <f t="shared" si="19"/>
        <v>211.1</v>
      </c>
      <c r="AT15" s="110">
        <f t="shared" si="19"/>
        <v>235.4</v>
      </c>
      <c r="AU15" s="42">
        <v>157.4</v>
      </c>
      <c r="AV15" s="43">
        <f t="shared" si="20"/>
        <v>31.48</v>
      </c>
      <c r="AW15" s="42">
        <v>160.1</v>
      </c>
      <c r="AX15" s="43">
        <f t="shared" si="21"/>
        <v>32.019999999999996</v>
      </c>
      <c r="AY15" s="42"/>
      <c r="AZ15" s="43">
        <f t="shared" si="22"/>
        <v>0</v>
      </c>
      <c r="BA15" s="175">
        <f t="shared" si="8"/>
        <v>153.9</v>
      </c>
      <c r="BB15" s="125">
        <f>RCFs!I$41</f>
        <v>30.791</v>
      </c>
    </row>
    <row r="16" spans="1:54" x14ac:dyDescent="0.3">
      <c r="A16" s="176" t="s">
        <v>156</v>
      </c>
      <c r="B16" s="129" t="s">
        <v>157</v>
      </c>
      <c r="C16" s="177">
        <v>9</v>
      </c>
      <c r="D16" s="124">
        <f t="shared" ref="D16" si="24">ROUND(E16*C16,1)</f>
        <v>677.4</v>
      </c>
      <c r="E16" s="123">
        <f>RCFs!C$43</f>
        <v>75.268515088574986</v>
      </c>
      <c r="F16" s="124">
        <f t="shared" si="1"/>
        <v>259.5</v>
      </c>
      <c r="G16" s="39">
        <f t="shared" si="9"/>
        <v>28.833333333333332</v>
      </c>
      <c r="H16" s="124">
        <v>269.7</v>
      </c>
      <c r="I16" s="39">
        <f t="shared" ref="I16" si="25">H16/C16</f>
        <v>29.966666666666665</v>
      </c>
      <c r="J16" s="111">
        <f t="shared" si="2"/>
        <v>296.7</v>
      </c>
      <c r="K16" s="111">
        <f t="shared" si="2"/>
        <v>369.5</v>
      </c>
      <c r="L16" s="111">
        <f t="shared" si="2"/>
        <v>396.5</v>
      </c>
      <c r="M16" s="111">
        <f t="shared" si="2"/>
        <v>436.9</v>
      </c>
      <c r="N16" s="111">
        <f t="shared" si="2"/>
        <v>539.4</v>
      </c>
      <c r="O16" s="111">
        <f t="shared" si="2"/>
        <v>579.9</v>
      </c>
      <c r="P16" s="111">
        <f t="shared" si="2"/>
        <v>809.1</v>
      </c>
      <c r="Q16" s="124">
        <v>280.5</v>
      </c>
      <c r="R16" s="43">
        <f t="shared" si="11"/>
        <v>31.166666666666668</v>
      </c>
      <c r="S16" s="111">
        <f t="shared" si="23"/>
        <v>364.6</v>
      </c>
      <c r="T16" s="111">
        <f t="shared" si="12"/>
        <v>420.7</v>
      </c>
      <c r="U16" s="124">
        <v>253.5</v>
      </c>
      <c r="V16" s="43">
        <f t="shared" si="13"/>
        <v>28.166666666666668</v>
      </c>
      <c r="W16" s="124">
        <v>269.8</v>
      </c>
      <c r="X16" s="43">
        <f t="shared" si="3"/>
        <v>29.977777777777778</v>
      </c>
      <c r="Y16" s="111">
        <f t="shared" si="14"/>
        <v>296.7</v>
      </c>
      <c r="Z16" s="111">
        <f t="shared" si="4"/>
        <v>369.6</v>
      </c>
      <c r="AA16" s="111">
        <f t="shared" si="4"/>
        <v>437</v>
      </c>
      <c r="AB16" s="111">
        <f t="shared" si="4"/>
        <v>396.6</v>
      </c>
      <c r="AC16" s="111">
        <f t="shared" si="4"/>
        <v>585.4</v>
      </c>
      <c r="AD16" s="111">
        <f t="shared" si="4"/>
        <v>809.4</v>
      </c>
      <c r="AE16" s="42">
        <v>277.89999999999998</v>
      </c>
      <c r="AF16" s="125">
        <f t="shared" si="5"/>
        <v>30.877777777777776</v>
      </c>
      <c r="AG16" s="110">
        <f t="shared" si="6"/>
        <v>458.5</v>
      </c>
      <c r="AH16" s="110">
        <f t="shared" si="6"/>
        <v>583.6</v>
      </c>
      <c r="AI16" s="110">
        <f t="shared" si="6"/>
        <v>833.7</v>
      </c>
      <c r="AJ16" s="124">
        <v>268.2</v>
      </c>
      <c r="AK16" s="43">
        <f t="shared" si="15"/>
        <v>29.799999999999997</v>
      </c>
      <c r="AL16" s="124">
        <v>364.7</v>
      </c>
      <c r="AM16" s="43">
        <f t="shared" ref="AM16" si="26">AL16/C16</f>
        <v>40.522222222222219</v>
      </c>
      <c r="AN16" s="42">
        <v>292.39999999999998</v>
      </c>
      <c r="AO16" s="43">
        <f t="shared" si="16"/>
        <v>32.488888888888887</v>
      </c>
      <c r="AP16" s="110">
        <f t="shared" si="17"/>
        <v>438.6</v>
      </c>
      <c r="AQ16" s="42">
        <v>292.7</v>
      </c>
      <c r="AR16" s="43">
        <f t="shared" si="18"/>
        <v>32.522222222222219</v>
      </c>
      <c r="AS16" s="110">
        <f t="shared" si="19"/>
        <v>380.5</v>
      </c>
      <c r="AT16" s="110">
        <f t="shared" si="19"/>
        <v>424.4</v>
      </c>
      <c r="AU16" s="42">
        <v>283.7</v>
      </c>
      <c r="AV16" s="43">
        <f t="shared" si="20"/>
        <v>31.522222222222222</v>
      </c>
      <c r="AW16" s="42">
        <v>288.10000000000002</v>
      </c>
      <c r="AX16" s="43">
        <f t="shared" si="21"/>
        <v>32.011111111111113</v>
      </c>
      <c r="AY16" s="42"/>
      <c r="AZ16" s="43">
        <f t="shared" si="22"/>
        <v>0</v>
      </c>
      <c r="BA16" s="175">
        <f t="shared" si="8"/>
        <v>277.10000000000002</v>
      </c>
      <c r="BB16" s="125">
        <f>RCFs!I$41</f>
        <v>30.791</v>
      </c>
    </row>
    <row r="17" spans="1:54" x14ac:dyDescent="0.3">
      <c r="A17" s="201" t="s">
        <v>212</v>
      </c>
      <c r="B17" s="274" t="s">
        <v>213</v>
      </c>
      <c r="C17" s="248">
        <v>8</v>
      </c>
      <c r="D17" s="124">
        <f t="shared" ref="D17" si="27">ROUND(E17*C17,1)</f>
        <v>602.1</v>
      </c>
      <c r="E17" s="123">
        <f>RCFs!C$43</f>
        <v>75.268515088574986</v>
      </c>
      <c r="F17" s="251">
        <f t="shared" si="1"/>
        <v>0</v>
      </c>
      <c r="G17" s="39">
        <f t="shared" ref="G17" si="28">F17/C17</f>
        <v>0</v>
      </c>
      <c r="H17" s="124"/>
      <c r="I17" s="39">
        <f t="shared" ref="I17" si="29">H17/C17</f>
        <v>0</v>
      </c>
      <c r="J17" s="111">
        <f t="shared" si="2"/>
        <v>0</v>
      </c>
      <c r="K17" s="111">
        <f t="shared" si="2"/>
        <v>0</v>
      </c>
      <c r="L17" s="111">
        <f t="shared" si="2"/>
        <v>0</v>
      </c>
      <c r="M17" s="111">
        <f t="shared" si="2"/>
        <v>0</v>
      </c>
      <c r="N17" s="111">
        <f t="shared" si="2"/>
        <v>0</v>
      </c>
      <c r="O17" s="111">
        <f t="shared" si="2"/>
        <v>0</v>
      </c>
      <c r="P17" s="111">
        <f t="shared" si="2"/>
        <v>0</v>
      </c>
      <c r="Q17" s="251"/>
      <c r="R17" s="254">
        <f t="shared" ref="R17" si="30">Q17/C17</f>
        <v>0</v>
      </c>
      <c r="S17" s="111">
        <f t="shared" si="23"/>
        <v>0</v>
      </c>
      <c r="T17" s="111">
        <f t="shared" si="12"/>
        <v>0</v>
      </c>
      <c r="U17" s="251">
        <f>U19</f>
        <v>225.8</v>
      </c>
      <c r="V17" s="43">
        <f t="shared" ref="V17" si="31">U17/C17</f>
        <v>28.225000000000001</v>
      </c>
      <c r="W17" s="251">
        <f>W19</f>
        <v>240.3</v>
      </c>
      <c r="X17" s="43">
        <f t="shared" ref="X17" si="32">W17/C17</f>
        <v>30.037500000000001</v>
      </c>
      <c r="Y17" s="111">
        <f t="shared" si="14"/>
        <v>264.3</v>
      </c>
      <c r="Z17" s="111">
        <f t="shared" si="4"/>
        <v>329.2</v>
      </c>
      <c r="AA17" s="111">
        <f t="shared" si="4"/>
        <v>389.2</v>
      </c>
      <c r="AB17" s="111">
        <f t="shared" si="4"/>
        <v>353.2</v>
      </c>
      <c r="AC17" s="111">
        <f t="shared" si="4"/>
        <v>521.4</v>
      </c>
      <c r="AD17" s="111">
        <f t="shared" si="4"/>
        <v>720.9</v>
      </c>
      <c r="AE17" s="249">
        <f>AE19</f>
        <v>247.1</v>
      </c>
      <c r="AF17" s="125">
        <f t="shared" ref="AF17" si="33">AE17/C17</f>
        <v>30.887499999999999</v>
      </c>
      <c r="AG17" s="110">
        <f t="shared" si="6"/>
        <v>407.7</v>
      </c>
      <c r="AH17" s="110">
        <f t="shared" si="6"/>
        <v>518.9</v>
      </c>
      <c r="AI17" s="110">
        <f t="shared" si="6"/>
        <v>741.3</v>
      </c>
      <c r="AJ17" s="251">
        <f>AJ19</f>
        <v>238.5</v>
      </c>
      <c r="AK17" s="43">
        <f t="shared" ref="AK17" si="34">AJ17/C17</f>
        <v>29.8125</v>
      </c>
      <c r="AL17" s="124">
        <f>AL19</f>
        <v>324.39999999999998</v>
      </c>
      <c r="AM17" s="43">
        <f t="shared" ref="AM17" si="35">AL17/C17</f>
        <v>40.549999999999997</v>
      </c>
      <c r="AN17" s="42">
        <f>AN19</f>
        <v>260.3</v>
      </c>
      <c r="AO17" s="43">
        <f t="shared" si="16"/>
        <v>32.537500000000001</v>
      </c>
      <c r="AP17" s="110">
        <f t="shared" si="17"/>
        <v>390.4</v>
      </c>
      <c r="AQ17" s="42">
        <f>AQ19</f>
        <v>260</v>
      </c>
      <c r="AR17" s="43">
        <f t="shared" ref="AR17:AR20" si="36">AR$11</f>
        <v>32.5</v>
      </c>
      <c r="AS17" s="110">
        <f t="shared" si="19"/>
        <v>338</v>
      </c>
      <c r="AT17" s="110">
        <f t="shared" si="19"/>
        <v>377</v>
      </c>
      <c r="AU17" s="42">
        <f>AU19</f>
        <v>251.7</v>
      </c>
      <c r="AV17" s="43">
        <f t="shared" ref="AV17" si="37">AU17/C17</f>
        <v>31.462499999999999</v>
      </c>
      <c r="AW17" s="42">
        <f>AW19</f>
        <v>256.10000000000002</v>
      </c>
      <c r="AX17" s="43">
        <f t="shared" si="21"/>
        <v>32.012500000000003</v>
      </c>
      <c r="AY17" s="249">
        <f>AY19</f>
        <v>0</v>
      </c>
      <c r="AZ17" s="43">
        <f t="shared" ref="AZ17" si="38">AY17/C17</f>
        <v>0</v>
      </c>
      <c r="BA17" s="175">
        <f t="shared" ref="BA17" si="39">ROUNDDOWN(C17*BB17,1)</f>
        <v>246.3</v>
      </c>
      <c r="BB17" s="125">
        <f>RCFs!I$41</f>
        <v>30.791</v>
      </c>
    </row>
    <row r="18" spans="1:54" x14ac:dyDescent="0.3">
      <c r="A18" s="44" t="s">
        <v>9</v>
      </c>
      <c r="B18" s="275" t="s">
        <v>10</v>
      </c>
      <c r="C18" s="46">
        <v>6</v>
      </c>
      <c r="D18" s="124">
        <f t="shared" si="0"/>
        <v>451.6</v>
      </c>
      <c r="E18" s="123">
        <f>RCFs!C$43</f>
        <v>75.268515088574986</v>
      </c>
      <c r="F18" s="124">
        <f t="shared" si="1"/>
        <v>173</v>
      </c>
      <c r="G18" s="39">
        <f t="shared" si="9"/>
        <v>28.833333333333332</v>
      </c>
      <c r="H18" s="124">
        <v>179.8</v>
      </c>
      <c r="I18" s="39">
        <f t="shared" si="10"/>
        <v>29.966666666666669</v>
      </c>
      <c r="J18" s="111">
        <f t="shared" si="2"/>
        <v>197.8</v>
      </c>
      <c r="K18" s="111">
        <f t="shared" si="2"/>
        <v>246.3</v>
      </c>
      <c r="L18" s="111">
        <f t="shared" si="2"/>
        <v>264.3</v>
      </c>
      <c r="M18" s="111">
        <f t="shared" si="2"/>
        <v>291.3</v>
      </c>
      <c r="N18" s="111">
        <f t="shared" si="2"/>
        <v>359.6</v>
      </c>
      <c r="O18" s="111">
        <f t="shared" si="2"/>
        <v>386.6</v>
      </c>
      <c r="P18" s="111">
        <f t="shared" si="2"/>
        <v>539.4</v>
      </c>
      <c r="Q18" s="42">
        <f t="shared" ref="Q18:Q20" si="40">ROUNDDOWN(C18*R18,1)</f>
        <v>187</v>
      </c>
      <c r="R18" s="43">
        <f t="shared" ref="R18:R20" si="41">R$11</f>
        <v>31.166666666666668</v>
      </c>
      <c r="S18" s="111">
        <f t="shared" si="23"/>
        <v>243.1</v>
      </c>
      <c r="T18" s="111">
        <f t="shared" si="12"/>
        <v>280.5</v>
      </c>
      <c r="U18" s="124">
        <v>169.3</v>
      </c>
      <c r="V18" s="43">
        <f t="shared" si="13"/>
        <v>28.216666666666669</v>
      </c>
      <c r="W18" s="124">
        <v>180.3</v>
      </c>
      <c r="X18" s="43">
        <f t="shared" si="3"/>
        <v>30.05</v>
      </c>
      <c r="Y18" s="111">
        <f t="shared" si="14"/>
        <v>198.3</v>
      </c>
      <c r="Z18" s="111">
        <f t="shared" si="4"/>
        <v>247</v>
      </c>
      <c r="AA18" s="111">
        <f t="shared" si="4"/>
        <v>292</v>
      </c>
      <c r="AB18" s="111">
        <f t="shared" si="4"/>
        <v>265</v>
      </c>
      <c r="AC18" s="111">
        <f t="shared" si="4"/>
        <v>391.2</v>
      </c>
      <c r="AD18" s="111">
        <f t="shared" si="4"/>
        <v>540.9</v>
      </c>
      <c r="AE18" s="175">
        <f>ROUNDDOWN($AF$11*C18,1)</f>
        <v>185.3</v>
      </c>
      <c r="AF18" s="125">
        <f t="shared" si="5"/>
        <v>30.883333333333336</v>
      </c>
      <c r="AG18" s="110">
        <f t="shared" si="6"/>
        <v>305.7</v>
      </c>
      <c r="AH18" s="110">
        <f t="shared" si="6"/>
        <v>389.1</v>
      </c>
      <c r="AI18" s="110">
        <f t="shared" si="6"/>
        <v>555.9</v>
      </c>
      <c r="AJ18" s="124">
        <v>178.8</v>
      </c>
      <c r="AK18" s="43">
        <f t="shared" si="15"/>
        <v>29.8</v>
      </c>
      <c r="AL18" s="124">
        <v>243.3</v>
      </c>
      <c r="AM18" s="43">
        <f t="shared" si="7"/>
        <v>40.550000000000004</v>
      </c>
      <c r="AN18" s="42">
        <v>195.2</v>
      </c>
      <c r="AO18" s="43">
        <f t="shared" si="16"/>
        <v>32.533333333333331</v>
      </c>
      <c r="AP18" s="110">
        <f t="shared" si="17"/>
        <v>292.8</v>
      </c>
      <c r="AQ18" s="175">
        <f>ROUNDDOWN($AR$11*C18,1)</f>
        <v>195</v>
      </c>
      <c r="AR18" s="43">
        <f t="shared" si="36"/>
        <v>32.5</v>
      </c>
      <c r="AS18" s="110">
        <f t="shared" si="19"/>
        <v>253.5</v>
      </c>
      <c r="AT18" s="110">
        <f t="shared" si="19"/>
        <v>282.7</v>
      </c>
      <c r="AU18" s="42">
        <v>189</v>
      </c>
      <c r="AV18" s="43">
        <f t="shared" si="20"/>
        <v>31.5</v>
      </c>
      <c r="AW18" s="42">
        <v>192.1</v>
      </c>
      <c r="AX18" s="43">
        <f t="shared" si="21"/>
        <v>32.016666666666666</v>
      </c>
      <c r="AY18" s="42"/>
      <c r="AZ18" s="43">
        <f t="shared" si="22"/>
        <v>0</v>
      </c>
      <c r="BA18" s="175">
        <f t="shared" si="8"/>
        <v>184.7</v>
      </c>
      <c r="BB18" s="125">
        <f>RCFs!I$41</f>
        <v>30.791</v>
      </c>
    </row>
    <row r="19" spans="1:54" x14ac:dyDescent="0.3">
      <c r="A19" s="44" t="s">
        <v>11</v>
      </c>
      <c r="B19" s="275" t="s">
        <v>214</v>
      </c>
      <c r="C19" s="46">
        <v>8</v>
      </c>
      <c r="D19" s="124">
        <f t="shared" si="0"/>
        <v>602.1</v>
      </c>
      <c r="E19" s="123">
        <f>RCFs!C$43</f>
        <v>75.268515088574986</v>
      </c>
      <c r="F19" s="124">
        <f t="shared" si="1"/>
        <v>230.5</v>
      </c>
      <c r="G19" s="39">
        <f t="shared" si="9"/>
        <v>28.8125</v>
      </c>
      <c r="H19" s="124">
        <v>239.5</v>
      </c>
      <c r="I19" s="39">
        <f t="shared" si="10"/>
        <v>29.9375</v>
      </c>
      <c r="J19" s="111">
        <f t="shared" si="2"/>
        <v>263.5</v>
      </c>
      <c r="K19" s="111">
        <f t="shared" si="2"/>
        <v>328.1</v>
      </c>
      <c r="L19" s="111">
        <f t="shared" si="2"/>
        <v>352.1</v>
      </c>
      <c r="M19" s="111">
        <f t="shared" si="2"/>
        <v>388</v>
      </c>
      <c r="N19" s="111">
        <f t="shared" si="2"/>
        <v>479</v>
      </c>
      <c r="O19" s="111">
        <f t="shared" si="2"/>
        <v>514.9</v>
      </c>
      <c r="P19" s="111">
        <f t="shared" si="2"/>
        <v>718.5</v>
      </c>
      <c r="Q19" s="42">
        <f t="shared" si="40"/>
        <v>249.3</v>
      </c>
      <c r="R19" s="43">
        <f t="shared" si="41"/>
        <v>31.166666666666668</v>
      </c>
      <c r="S19" s="111">
        <f t="shared" si="23"/>
        <v>324</v>
      </c>
      <c r="T19" s="111">
        <f t="shared" si="12"/>
        <v>373.9</v>
      </c>
      <c r="U19" s="124">
        <v>225.8</v>
      </c>
      <c r="V19" s="43">
        <f t="shared" si="13"/>
        <v>28.225000000000001</v>
      </c>
      <c r="W19" s="124">
        <v>240.3</v>
      </c>
      <c r="X19" s="43">
        <f t="shared" si="3"/>
        <v>30.037500000000001</v>
      </c>
      <c r="Y19" s="111">
        <f t="shared" si="14"/>
        <v>264.3</v>
      </c>
      <c r="Z19" s="111">
        <f t="shared" si="4"/>
        <v>329.2</v>
      </c>
      <c r="AA19" s="111">
        <f t="shared" si="4"/>
        <v>389.2</v>
      </c>
      <c r="AB19" s="111">
        <f t="shared" si="4"/>
        <v>353.2</v>
      </c>
      <c r="AC19" s="111">
        <f t="shared" si="4"/>
        <v>521.4</v>
      </c>
      <c r="AD19" s="111">
        <f t="shared" si="4"/>
        <v>720.9</v>
      </c>
      <c r="AE19" s="175">
        <f t="shared" ref="AE19:AE20" si="42">ROUNDDOWN($AF$11*C19,1)</f>
        <v>247.1</v>
      </c>
      <c r="AF19" s="125">
        <f t="shared" si="5"/>
        <v>30.887499999999999</v>
      </c>
      <c r="AG19" s="110">
        <f t="shared" si="6"/>
        <v>407.7</v>
      </c>
      <c r="AH19" s="110">
        <f t="shared" si="6"/>
        <v>518.9</v>
      </c>
      <c r="AI19" s="110">
        <f t="shared" si="6"/>
        <v>741.3</v>
      </c>
      <c r="AJ19" s="124">
        <v>238.5</v>
      </c>
      <c r="AK19" s="43">
        <f t="shared" si="15"/>
        <v>29.8125</v>
      </c>
      <c r="AL19" s="124">
        <v>324.39999999999998</v>
      </c>
      <c r="AM19" s="43">
        <f t="shared" si="7"/>
        <v>40.549999999999997</v>
      </c>
      <c r="AN19" s="42">
        <v>260.3</v>
      </c>
      <c r="AO19" s="43">
        <f t="shared" si="16"/>
        <v>32.537500000000001</v>
      </c>
      <c r="AP19" s="110">
        <f t="shared" si="17"/>
        <v>390.4</v>
      </c>
      <c r="AQ19" s="175">
        <f t="shared" ref="AQ19:AQ20" si="43">ROUNDDOWN($AR$11*C19,1)</f>
        <v>260</v>
      </c>
      <c r="AR19" s="43">
        <f t="shared" si="36"/>
        <v>32.5</v>
      </c>
      <c r="AS19" s="110">
        <f t="shared" si="19"/>
        <v>338</v>
      </c>
      <c r="AT19" s="110">
        <f t="shared" si="19"/>
        <v>377</v>
      </c>
      <c r="AU19" s="42">
        <v>251.7</v>
      </c>
      <c r="AV19" s="43">
        <f t="shared" si="20"/>
        <v>31.462499999999999</v>
      </c>
      <c r="AW19" s="42">
        <v>256.10000000000002</v>
      </c>
      <c r="AX19" s="43">
        <f t="shared" si="21"/>
        <v>32.012500000000003</v>
      </c>
      <c r="AY19" s="42"/>
      <c r="AZ19" s="43">
        <f t="shared" si="22"/>
        <v>0</v>
      </c>
      <c r="BA19" s="175">
        <f t="shared" si="8"/>
        <v>246.3</v>
      </c>
      <c r="BB19" s="125">
        <f>RCFs!I$41</f>
        <v>30.791</v>
      </c>
    </row>
    <row r="20" spans="1:54" x14ac:dyDescent="0.3">
      <c r="A20" s="44" t="s">
        <v>12</v>
      </c>
      <c r="B20" s="275" t="s">
        <v>215</v>
      </c>
      <c r="C20" s="46">
        <v>14</v>
      </c>
      <c r="D20" s="124">
        <f t="shared" si="0"/>
        <v>1053.8</v>
      </c>
      <c r="E20" s="123">
        <f>RCFs!C$43</f>
        <v>75.268515088574986</v>
      </c>
      <c r="F20" s="124">
        <f t="shared" si="1"/>
        <v>403.8</v>
      </c>
      <c r="G20" s="39">
        <f t="shared" si="9"/>
        <v>28.842857142857145</v>
      </c>
      <c r="H20" s="124">
        <v>419.6</v>
      </c>
      <c r="I20" s="39">
        <f t="shared" si="10"/>
        <v>29.971428571428572</v>
      </c>
      <c r="J20" s="111">
        <f t="shared" si="2"/>
        <v>461.6</v>
      </c>
      <c r="K20" s="111">
        <f t="shared" si="2"/>
        <v>574.9</v>
      </c>
      <c r="L20" s="111">
        <f t="shared" si="2"/>
        <v>616.79999999999995</v>
      </c>
      <c r="M20" s="111">
        <f t="shared" si="2"/>
        <v>679.8</v>
      </c>
      <c r="N20" s="111">
        <f t="shared" si="2"/>
        <v>839.2</v>
      </c>
      <c r="O20" s="111">
        <f t="shared" si="2"/>
        <v>902.1</v>
      </c>
      <c r="P20" s="111">
        <f t="shared" si="2"/>
        <v>1258.8</v>
      </c>
      <c r="Q20" s="42">
        <f t="shared" si="40"/>
        <v>436.3</v>
      </c>
      <c r="R20" s="43">
        <f t="shared" si="41"/>
        <v>31.166666666666668</v>
      </c>
      <c r="S20" s="111">
        <f t="shared" si="23"/>
        <v>567.1</v>
      </c>
      <c r="T20" s="111">
        <f t="shared" si="12"/>
        <v>654.4</v>
      </c>
      <c r="U20" s="124">
        <v>395.2</v>
      </c>
      <c r="V20" s="43">
        <f t="shared" si="13"/>
        <v>28.228571428571428</v>
      </c>
      <c r="W20" s="124">
        <v>420.9</v>
      </c>
      <c r="X20" s="43">
        <f t="shared" si="3"/>
        <v>30.064285714285713</v>
      </c>
      <c r="Y20" s="111">
        <f t="shared" si="14"/>
        <v>462.9</v>
      </c>
      <c r="Z20" s="111">
        <f t="shared" si="4"/>
        <v>576.6</v>
      </c>
      <c r="AA20" s="111">
        <f t="shared" si="4"/>
        <v>681.8</v>
      </c>
      <c r="AB20" s="111">
        <f t="shared" si="4"/>
        <v>618.70000000000005</v>
      </c>
      <c r="AC20" s="111">
        <f t="shared" si="4"/>
        <v>913.3</v>
      </c>
      <c r="AD20" s="111">
        <f t="shared" si="4"/>
        <v>1262.7</v>
      </c>
      <c r="AE20" s="175">
        <f t="shared" si="42"/>
        <v>432.5</v>
      </c>
      <c r="AF20" s="125">
        <f t="shared" si="5"/>
        <v>30.892857142857142</v>
      </c>
      <c r="AG20" s="110">
        <f t="shared" si="6"/>
        <v>713.6</v>
      </c>
      <c r="AH20" s="110">
        <f t="shared" si="6"/>
        <v>908.3</v>
      </c>
      <c r="AI20" s="110">
        <f t="shared" si="6"/>
        <v>1297.5</v>
      </c>
      <c r="AJ20" s="124">
        <v>417.3</v>
      </c>
      <c r="AK20" s="43">
        <f t="shared" si="15"/>
        <v>29.807142857142857</v>
      </c>
      <c r="AL20" s="124">
        <v>567.6</v>
      </c>
      <c r="AM20" s="43">
        <f t="shared" si="7"/>
        <v>40.542857142857144</v>
      </c>
      <c r="AN20" s="42">
        <v>455.1</v>
      </c>
      <c r="AO20" s="43">
        <f t="shared" si="16"/>
        <v>32.50714285714286</v>
      </c>
      <c r="AP20" s="110">
        <f t="shared" si="17"/>
        <v>682.6</v>
      </c>
      <c r="AQ20" s="175">
        <f t="shared" si="43"/>
        <v>455</v>
      </c>
      <c r="AR20" s="43">
        <f t="shared" si="36"/>
        <v>32.5</v>
      </c>
      <c r="AS20" s="110">
        <f t="shared" si="19"/>
        <v>591.5</v>
      </c>
      <c r="AT20" s="110">
        <f t="shared" si="19"/>
        <v>659.7</v>
      </c>
      <c r="AU20" s="42">
        <v>440.8</v>
      </c>
      <c r="AV20" s="43">
        <f t="shared" si="20"/>
        <v>31.485714285714288</v>
      </c>
      <c r="AW20" s="42">
        <v>448.2</v>
      </c>
      <c r="AX20" s="43">
        <f t="shared" si="21"/>
        <v>32.014285714285712</v>
      </c>
      <c r="AY20" s="42"/>
      <c r="AZ20" s="43">
        <f t="shared" si="22"/>
        <v>0</v>
      </c>
      <c r="BA20" s="175">
        <f t="shared" ref="BA20:BA22" si="44">ROUNDDOWN(C20*BB20,1)</f>
        <v>431</v>
      </c>
      <c r="BB20" s="125">
        <f>RCFs!I$41</f>
        <v>30.791</v>
      </c>
    </row>
    <row r="21" spans="1:54" x14ac:dyDescent="0.3">
      <c r="A21" s="176" t="s">
        <v>158</v>
      </c>
      <c r="B21" s="129" t="s">
        <v>159</v>
      </c>
      <c r="C21" s="130"/>
      <c r="D21" s="124">
        <v>0</v>
      </c>
      <c r="E21" s="124">
        <v>0</v>
      </c>
      <c r="F21" s="42">
        <f t="shared" si="1"/>
        <v>0</v>
      </c>
      <c r="G21" s="42">
        <v>0</v>
      </c>
      <c r="H21" s="124">
        <v>0</v>
      </c>
      <c r="I21" s="42">
        <v>0</v>
      </c>
      <c r="J21" s="111">
        <f t="shared" si="2"/>
        <v>0</v>
      </c>
      <c r="K21" s="111">
        <f t="shared" si="2"/>
        <v>0</v>
      </c>
      <c r="L21" s="111">
        <f t="shared" si="2"/>
        <v>0</v>
      </c>
      <c r="M21" s="111">
        <f t="shared" si="2"/>
        <v>0</v>
      </c>
      <c r="N21" s="111">
        <f t="shared" si="2"/>
        <v>0</v>
      </c>
      <c r="O21" s="111">
        <f t="shared" si="2"/>
        <v>0</v>
      </c>
      <c r="P21" s="111">
        <f t="shared" si="2"/>
        <v>0</v>
      </c>
      <c r="Q21" s="42">
        <v>0</v>
      </c>
      <c r="R21" s="43">
        <v>0</v>
      </c>
      <c r="S21" s="111">
        <f t="shared" si="23"/>
        <v>0</v>
      </c>
      <c r="T21" s="111">
        <f t="shared" si="12"/>
        <v>0</v>
      </c>
      <c r="U21" s="42">
        <v>0</v>
      </c>
      <c r="V21" s="43">
        <v>0</v>
      </c>
      <c r="W21" s="42">
        <v>0</v>
      </c>
      <c r="X21" s="43">
        <v>0</v>
      </c>
      <c r="Y21" s="111">
        <f t="shared" si="14"/>
        <v>0</v>
      </c>
      <c r="Z21" s="111">
        <f t="shared" si="4"/>
        <v>0</v>
      </c>
      <c r="AA21" s="111">
        <f t="shared" si="4"/>
        <v>0</v>
      </c>
      <c r="AB21" s="111">
        <f t="shared" si="4"/>
        <v>0</v>
      </c>
      <c r="AC21" s="111">
        <f t="shared" si="4"/>
        <v>0</v>
      </c>
      <c r="AD21" s="111">
        <f t="shared" si="4"/>
        <v>0</v>
      </c>
      <c r="AE21" s="42">
        <v>0</v>
      </c>
      <c r="AF21" s="42">
        <v>0</v>
      </c>
      <c r="AG21" s="110">
        <f t="shared" si="6"/>
        <v>0</v>
      </c>
      <c r="AH21" s="110">
        <f t="shared" si="6"/>
        <v>0</v>
      </c>
      <c r="AI21" s="110">
        <f t="shared" si="6"/>
        <v>0</v>
      </c>
      <c r="AJ21" s="42">
        <v>0</v>
      </c>
      <c r="AK21" s="125">
        <v>0</v>
      </c>
      <c r="AL21" s="42">
        <v>0</v>
      </c>
      <c r="AM21" s="43">
        <v>0</v>
      </c>
      <c r="AN21" s="42">
        <v>0</v>
      </c>
      <c r="AO21" s="43">
        <v>0</v>
      </c>
      <c r="AP21" s="110">
        <f t="shared" si="17"/>
        <v>0</v>
      </c>
      <c r="AQ21" s="124">
        <v>0</v>
      </c>
      <c r="AR21" s="43">
        <v>0</v>
      </c>
      <c r="AS21" s="110">
        <f t="shared" si="19"/>
        <v>0</v>
      </c>
      <c r="AT21" s="110">
        <f t="shared" si="19"/>
        <v>0</v>
      </c>
      <c r="AU21" s="42">
        <v>0</v>
      </c>
      <c r="AV21" s="43">
        <v>0</v>
      </c>
      <c r="AW21" s="124">
        <v>0</v>
      </c>
      <c r="AX21" s="43">
        <v>0</v>
      </c>
      <c r="AY21" s="42">
        <v>0</v>
      </c>
      <c r="AZ21" s="43">
        <v>0</v>
      </c>
      <c r="BA21" s="175">
        <f t="shared" si="44"/>
        <v>0</v>
      </c>
      <c r="BB21" s="42">
        <v>0</v>
      </c>
    </row>
    <row r="22" spans="1:54" x14ac:dyDescent="0.3">
      <c r="A22" s="44" t="s">
        <v>19</v>
      </c>
      <c r="B22" s="45" t="s">
        <v>25</v>
      </c>
      <c r="C22" s="46"/>
      <c r="D22" s="42">
        <v>0</v>
      </c>
      <c r="E22" s="42">
        <v>0</v>
      </c>
      <c r="F22" s="42">
        <f t="shared" si="1"/>
        <v>0</v>
      </c>
      <c r="G22" s="42">
        <v>0</v>
      </c>
      <c r="H22" s="124">
        <v>0</v>
      </c>
      <c r="I22" s="42">
        <v>0</v>
      </c>
      <c r="J22" s="111">
        <f t="shared" si="2"/>
        <v>0</v>
      </c>
      <c r="K22" s="111">
        <f t="shared" si="2"/>
        <v>0</v>
      </c>
      <c r="L22" s="111">
        <f t="shared" si="2"/>
        <v>0</v>
      </c>
      <c r="M22" s="111">
        <f t="shared" ref="M22:P30" si="45">ROUND($C22*$I22*M$6,1)</f>
        <v>0</v>
      </c>
      <c r="N22" s="111">
        <f t="shared" si="45"/>
        <v>0</v>
      </c>
      <c r="O22" s="111">
        <f t="shared" si="45"/>
        <v>0</v>
      </c>
      <c r="P22" s="111">
        <f t="shared" si="45"/>
        <v>0</v>
      </c>
      <c r="Q22" s="42">
        <v>0</v>
      </c>
      <c r="R22" s="43">
        <v>0</v>
      </c>
      <c r="S22" s="111">
        <f t="shared" si="23"/>
        <v>0</v>
      </c>
      <c r="T22" s="111">
        <f t="shared" si="12"/>
        <v>0</v>
      </c>
      <c r="U22" s="42">
        <v>0</v>
      </c>
      <c r="V22" s="43">
        <v>0</v>
      </c>
      <c r="W22" s="42">
        <v>0</v>
      </c>
      <c r="X22" s="43">
        <v>0</v>
      </c>
      <c r="Y22" s="111">
        <f t="shared" si="14"/>
        <v>0</v>
      </c>
      <c r="Z22" s="111">
        <f t="shared" si="4"/>
        <v>0</v>
      </c>
      <c r="AA22" s="111">
        <f t="shared" si="4"/>
        <v>0</v>
      </c>
      <c r="AB22" s="111">
        <f t="shared" si="4"/>
        <v>0</v>
      </c>
      <c r="AC22" s="111">
        <f t="shared" si="4"/>
        <v>0</v>
      </c>
      <c r="AD22" s="111">
        <f t="shared" si="4"/>
        <v>0</v>
      </c>
      <c r="AE22" s="42">
        <v>0</v>
      </c>
      <c r="AF22" s="42">
        <v>0</v>
      </c>
      <c r="AG22" s="110">
        <f t="shared" si="6"/>
        <v>0</v>
      </c>
      <c r="AH22" s="110">
        <f t="shared" si="6"/>
        <v>0</v>
      </c>
      <c r="AI22" s="110">
        <f t="shared" si="6"/>
        <v>0</v>
      </c>
      <c r="AJ22" s="42">
        <v>188.8</v>
      </c>
      <c r="AK22" s="125">
        <v>0</v>
      </c>
      <c r="AL22" s="42">
        <v>256.8</v>
      </c>
      <c r="AM22" s="43">
        <v>0</v>
      </c>
      <c r="AN22" s="42">
        <v>0</v>
      </c>
      <c r="AO22" s="43">
        <v>0</v>
      </c>
      <c r="AP22" s="110">
        <f t="shared" si="17"/>
        <v>0</v>
      </c>
      <c r="AQ22" s="124">
        <v>0</v>
      </c>
      <c r="AR22" s="43">
        <v>0</v>
      </c>
      <c r="AS22" s="110">
        <f t="shared" si="19"/>
        <v>0</v>
      </c>
      <c r="AT22" s="110">
        <f t="shared" si="19"/>
        <v>0</v>
      </c>
      <c r="AU22" s="42">
        <v>0</v>
      </c>
      <c r="AV22" s="43">
        <v>0</v>
      </c>
      <c r="AW22" s="124">
        <v>0</v>
      </c>
      <c r="AX22" s="43">
        <v>0</v>
      </c>
      <c r="AY22" s="42">
        <v>0</v>
      </c>
      <c r="AZ22" s="43">
        <v>0</v>
      </c>
      <c r="BA22" s="175">
        <f t="shared" si="44"/>
        <v>0</v>
      </c>
      <c r="BB22" s="42">
        <v>0</v>
      </c>
    </row>
    <row r="23" spans="1:54" x14ac:dyDescent="0.3">
      <c r="A23" s="44" t="s">
        <v>20</v>
      </c>
      <c r="B23" s="45" t="s">
        <v>62</v>
      </c>
      <c r="C23" s="46">
        <v>15</v>
      </c>
      <c r="D23" s="42">
        <f t="shared" si="0"/>
        <v>1129</v>
      </c>
      <c r="E23" s="123">
        <f>RCFs!C$43</f>
        <v>75.268515088574986</v>
      </c>
      <c r="F23" s="124">
        <f t="shared" si="1"/>
        <v>749.6</v>
      </c>
      <c r="G23" s="39">
        <f t="shared" si="9"/>
        <v>49.973333333333336</v>
      </c>
      <c r="H23" s="124">
        <v>778.9</v>
      </c>
      <c r="I23" s="39">
        <f t="shared" si="10"/>
        <v>51.926666666666662</v>
      </c>
      <c r="J23" s="111">
        <f t="shared" si="2"/>
        <v>856.8</v>
      </c>
      <c r="K23" s="111">
        <f t="shared" si="2"/>
        <v>1067.0999999999999</v>
      </c>
      <c r="L23" s="111">
        <f t="shared" si="2"/>
        <v>1145</v>
      </c>
      <c r="M23" s="111">
        <f t="shared" si="45"/>
        <v>1261.8</v>
      </c>
      <c r="N23" s="111">
        <f t="shared" si="45"/>
        <v>1557.8</v>
      </c>
      <c r="O23" s="111">
        <f t="shared" si="45"/>
        <v>1674.6</v>
      </c>
      <c r="P23" s="111">
        <f t="shared" si="45"/>
        <v>2336.6999999999998</v>
      </c>
      <c r="Q23" s="124">
        <v>810.3</v>
      </c>
      <c r="R23" s="43">
        <f t="shared" si="11"/>
        <v>54.019999999999996</v>
      </c>
      <c r="S23" s="111">
        <f t="shared" si="23"/>
        <v>1053.3</v>
      </c>
      <c r="T23" s="111">
        <f t="shared" si="12"/>
        <v>1215.4000000000001</v>
      </c>
      <c r="U23" s="124">
        <v>735</v>
      </c>
      <c r="V23" s="43">
        <f t="shared" si="13"/>
        <v>49</v>
      </c>
      <c r="W23" s="124">
        <v>783</v>
      </c>
      <c r="X23" s="43">
        <f>W23/C23</f>
        <v>52.2</v>
      </c>
      <c r="Y23" s="111">
        <f t="shared" si="14"/>
        <v>861.3</v>
      </c>
      <c r="Z23" s="111">
        <f t="shared" si="4"/>
        <v>1072.7</v>
      </c>
      <c r="AA23" s="111">
        <f t="shared" si="4"/>
        <v>1268.4000000000001</v>
      </c>
      <c r="AB23" s="111">
        <f t="shared" si="4"/>
        <v>1151</v>
      </c>
      <c r="AC23" s="111">
        <f t="shared" si="4"/>
        <v>1699.1</v>
      </c>
      <c r="AD23" s="111">
        <f t="shared" si="4"/>
        <v>2349</v>
      </c>
      <c r="AE23" s="42">
        <v>803</v>
      </c>
      <c r="AF23" s="43">
        <f t="shared" si="5"/>
        <v>53.533333333333331</v>
      </c>
      <c r="AG23" s="110">
        <f t="shared" si="6"/>
        <v>1325</v>
      </c>
      <c r="AH23" s="110">
        <f t="shared" si="6"/>
        <v>1686.3</v>
      </c>
      <c r="AI23" s="110">
        <f t="shared" si="6"/>
        <v>2409</v>
      </c>
      <c r="AJ23" s="124">
        <v>755</v>
      </c>
      <c r="AK23" s="43">
        <f t="shared" si="15"/>
        <v>50.333333333333336</v>
      </c>
      <c r="AL23" s="124">
        <v>1027.4000000000001</v>
      </c>
      <c r="AM23" s="43">
        <f t="shared" si="7"/>
        <v>68.493333333333339</v>
      </c>
      <c r="AN23" s="42">
        <v>845</v>
      </c>
      <c r="AO23" s="43">
        <f t="shared" si="16"/>
        <v>56.333333333333336</v>
      </c>
      <c r="AP23" s="110">
        <f t="shared" si="17"/>
        <v>1267.5</v>
      </c>
      <c r="AQ23" s="42">
        <v>845.3</v>
      </c>
      <c r="AR23" s="43">
        <f t="shared" si="18"/>
        <v>56.353333333333332</v>
      </c>
      <c r="AS23" s="110">
        <f t="shared" si="19"/>
        <v>1098.8</v>
      </c>
      <c r="AT23" s="110">
        <f t="shared" si="19"/>
        <v>1225.5999999999999</v>
      </c>
      <c r="AU23" s="42">
        <v>818.7</v>
      </c>
      <c r="AV23" s="43">
        <f t="shared" si="20"/>
        <v>54.580000000000005</v>
      </c>
      <c r="AW23" s="42">
        <v>832.3</v>
      </c>
      <c r="AX23" s="43">
        <f t="shared" si="21"/>
        <v>55.486666666666665</v>
      </c>
      <c r="AY23" s="42"/>
      <c r="AZ23" s="43">
        <f t="shared" ref="AZ23:AZ30" si="46">AY23/C23</f>
        <v>0</v>
      </c>
      <c r="BA23" s="124">
        <v>800.4</v>
      </c>
      <c r="BB23" s="125">
        <f t="shared" ref="BB23:BB28" si="47">BA23/C23</f>
        <v>53.36</v>
      </c>
    </row>
    <row r="24" spans="1:54" x14ac:dyDescent="0.3">
      <c r="A24" s="44" t="s">
        <v>21</v>
      </c>
      <c r="B24" s="45" t="s">
        <v>62</v>
      </c>
      <c r="C24" s="46">
        <v>30</v>
      </c>
      <c r="D24" s="42">
        <f t="shared" si="0"/>
        <v>2258.1</v>
      </c>
      <c r="E24" s="123">
        <f>RCFs!C$43</f>
        <v>75.268515088574986</v>
      </c>
      <c r="F24" s="124">
        <f t="shared" si="1"/>
        <v>749.6</v>
      </c>
      <c r="G24" s="39">
        <f t="shared" si="9"/>
        <v>24.986666666666668</v>
      </c>
      <c r="H24" s="124">
        <v>778.9</v>
      </c>
      <c r="I24" s="39">
        <f t="shared" si="10"/>
        <v>25.963333333333331</v>
      </c>
      <c r="J24" s="111">
        <f t="shared" si="2"/>
        <v>856.8</v>
      </c>
      <c r="K24" s="111">
        <f t="shared" si="2"/>
        <v>1067.0999999999999</v>
      </c>
      <c r="L24" s="111">
        <f t="shared" si="2"/>
        <v>1145</v>
      </c>
      <c r="M24" s="111">
        <f t="shared" si="45"/>
        <v>1261.8</v>
      </c>
      <c r="N24" s="111">
        <f t="shared" si="45"/>
        <v>1557.8</v>
      </c>
      <c r="O24" s="111">
        <f t="shared" si="45"/>
        <v>1674.6</v>
      </c>
      <c r="P24" s="111">
        <f t="shared" si="45"/>
        <v>2336.6999999999998</v>
      </c>
      <c r="Q24" s="124">
        <v>810.3</v>
      </c>
      <c r="R24" s="43">
        <f t="shared" si="11"/>
        <v>27.009999999999998</v>
      </c>
      <c r="S24" s="111">
        <f t="shared" si="23"/>
        <v>1053.3</v>
      </c>
      <c r="T24" s="111">
        <f t="shared" si="12"/>
        <v>1215.4000000000001</v>
      </c>
      <c r="U24" s="124">
        <v>735</v>
      </c>
      <c r="V24" s="43">
        <f t="shared" si="13"/>
        <v>24.5</v>
      </c>
      <c r="W24" s="124">
        <v>783</v>
      </c>
      <c r="X24" s="43">
        <f t="shared" ref="X24:X30" si="48">W24/C24</f>
        <v>26.1</v>
      </c>
      <c r="Y24" s="111">
        <f t="shared" si="14"/>
        <v>861.3</v>
      </c>
      <c r="Z24" s="111">
        <f t="shared" si="4"/>
        <v>1072.7</v>
      </c>
      <c r="AA24" s="111">
        <f t="shared" si="4"/>
        <v>1268.4000000000001</v>
      </c>
      <c r="AB24" s="111">
        <f t="shared" si="4"/>
        <v>1151</v>
      </c>
      <c r="AC24" s="111">
        <f t="shared" si="4"/>
        <v>1699.1</v>
      </c>
      <c r="AD24" s="111">
        <f t="shared" si="4"/>
        <v>2349</v>
      </c>
      <c r="AE24" s="42">
        <v>803</v>
      </c>
      <c r="AF24" s="43">
        <f t="shared" si="5"/>
        <v>26.766666666666666</v>
      </c>
      <c r="AG24" s="110">
        <f t="shared" si="6"/>
        <v>1325</v>
      </c>
      <c r="AH24" s="110">
        <f t="shared" si="6"/>
        <v>1686.3</v>
      </c>
      <c r="AI24" s="110">
        <f t="shared" si="6"/>
        <v>2409</v>
      </c>
      <c r="AJ24" s="124">
        <v>755</v>
      </c>
      <c r="AK24" s="43">
        <f t="shared" si="15"/>
        <v>25.166666666666668</v>
      </c>
      <c r="AL24" s="124">
        <v>1027.4000000000001</v>
      </c>
      <c r="AM24" s="43">
        <f t="shared" si="7"/>
        <v>34.24666666666667</v>
      </c>
      <c r="AN24" s="42">
        <v>845</v>
      </c>
      <c r="AO24" s="43">
        <f t="shared" si="16"/>
        <v>28.166666666666668</v>
      </c>
      <c r="AP24" s="110">
        <f t="shared" si="17"/>
        <v>1267.5</v>
      </c>
      <c r="AQ24" s="42">
        <v>845.3</v>
      </c>
      <c r="AR24" s="43">
        <f t="shared" si="18"/>
        <v>28.176666666666666</v>
      </c>
      <c r="AS24" s="110">
        <f t="shared" si="19"/>
        <v>1098.8</v>
      </c>
      <c r="AT24" s="110">
        <f t="shared" si="19"/>
        <v>1225.5999999999999</v>
      </c>
      <c r="AU24" s="42">
        <v>818.7</v>
      </c>
      <c r="AV24" s="43">
        <f t="shared" si="20"/>
        <v>27.290000000000003</v>
      </c>
      <c r="AW24" s="42">
        <v>832.3</v>
      </c>
      <c r="AX24" s="43">
        <f t="shared" si="21"/>
        <v>27.743333333333332</v>
      </c>
      <c r="AY24" s="42"/>
      <c r="AZ24" s="43">
        <f t="shared" si="46"/>
        <v>0</v>
      </c>
      <c r="BA24" s="124">
        <v>800.4</v>
      </c>
      <c r="BB24" s="125">
        <f t="shared" si="47"/>
        <v>26.68</v>
      </c>
    </row>
    <row r="25" spans="1:54" x14ac:dyDescent="0.3">
      <c r="A25" s="44" t="s">
        <v>22</v>
      </c>
      <c r="B25" s="45" t="s">
        <v>62</v>
      </c>
      <c r="C25" s="46">
        <v>45</v>
      </c>
      <c r="D25" s="42">
        <f t="shared" si="0"/>
        <v>3387.1</v>
      </c>
      <c r="E25" s="123">
        <f>RCFs!C$43</f>
        <v>75.268515088574986</v>
      </c>
      <c r="F25" s="124">
        <f t="shared" si="1"/>
        <v>749.6</v>
      </c>
      <c r="G25" s="39">
        <f t="shared" si="9"/>
        <v>16.657777777777778</v>
      </c>
      <c r="H25" s="124">
        <v>778.9</v>
      </c>
      <c r="I25" s="39">
        <f t="shared" si="10"/>
        <v>17.308888888888887</v>
      </c>
      <c r="J25" s="111">
        <f t="shared" si="2"/>
        <v>856.8</v>
      </c>
      <c r="K25" s="111">
        <f t="shared" si="2"/>
        <v>1067.0999999999999</v>
      </c>
      <c r="L25" s="111">
        <f t="shared" si="2"/>
        <v>1145</v>
      </c>
      <c r="M25" s="111">
        <f t="shared" si="45"/>
        <v>1261.8</v>
      </c>
      <c r="N25" s="111">
        <f t="shared" si="45"/>
        <v>1557.8</v>
      </c>
      <c r="O25" s="111">
        <f t="shared" si="45"/>
        <v>1674.6</v>
      </c>
      <c r="P25" s="111">
        <f t="shared" si="45"/>
        <v>2336.6999999999998</v>
      </c>
      <c r="Q25" s="124">
        <v>810.3</v>
      </c>
      <c r="R25" s="43">
        <f t="shared" si="11"/>
        <v>18.006666666666664</v>
      </c>
      <c r="S25" s="111">
        <f t="shared" si="23"/>
        <v>1053.3</v>
      </c>
      <c r="T25" s="111">
        <f t="shared" si="12"/>
        <v>1215.4000000000001</v>
      </c>
      <c r="U25" s="124">
        <v>735</v>
      </c>
      <c r="V25" s="43">
        <f t="shared" si="13"/>
        <v>16.333333333333332</v>
      </c>
      <c r="W25" s="124">
        <v>783</v>
      </c>
      <c r="X25" s="43">
        <f t="shared" si="48"/>
        <v>17.399999999999999</v>
      </c>
      <c r="Y25" s="111">
        <f t="shared" si="14"/>
        <v>861.3</v>
      </c>
      <c r="Z25" s="111">
        <f t="shared" si="4"/>
        <v>1072.7</v>
      </c>
      <c r="AA25" s="111">
        <f t="shared" si="4"/>
        <v>1268.4000000000001</v>
      </c>
      <c r="AB25" s="111">
        <f t="shared" si="4"/>
        <v>1151</v>
      </c>
      <c r="AC25" s="111">
        <f t="shared" si="4"/>
        <v>1699.1</v>
      </c>
      <c r="AD25" s="111">
        <f t="shared" si="4"/>
        <v>2349</v>
      </c>
      <c r="AE25" s="42">
        <v>803</v>
      </c>
      <c r="AF25" s="43">
        <f t="shared" si="5"/>
        <v>17.844444444444445</v>
      </c>
      <c r="AG25" s="110">
        <f t="shared" si="6"/>
        <v>1325</v>
      </c>
      <c r="AH25" s="110">
        <f t="shared" si="6"/>
        <v>1686.3</v>
      </c>
      <c r="AI25" s="110">
        <f t="shared" si="6"/>
        <v>2409</v>
      </c>
      <c r="AJ25" s="124">
        <v>755</v>
      </c>
      <c r="AK25" s="43">
        <f t="shared" si="15"/>
        <v>16.777777777777779</v>
      </c>
      <c r="AL25" s="124">
        <v>1027.4000000000001</v>
      </c>
      <c r="AM25" s="43">
        <f t="shared" si="7"/>
        <v>22.831111111111113</v>
      </c>
      <c r="AN25" s="42">
        <v>845</v>
      </c>
      <c r="AO25" s="43">
        <f t="shared" si="16"/>
        <v>18.777777777777779</v>
      </c>
      <c r="AP25" s="110">
        <f t="shared" si="17"/>
        <v>1267.5</v>
      </c>
      <c r="AQ25" s="42">
        <v>845.3</v>
      </c>
      <c r="AR25" s="43">
        <f t="shared" si="18"/>
        <v>18.784444444444443</v>
      </c>
      <c r="AS25" s="110">
        <f t="shared" si="19"/>
        <v>1098.8</v>
      </c>
      <c r="AT25" s="110">
        <f t="shared" si="19"/>
        <v>1225.5999999999999</v>
      </c>
      <c r="AU25" s="42">
        <v>818.7</v>
      </c>
      <c r="AV25" s="43">
        <f t="shared" si="20"/>
        <v>18.193333333333335</v>
      </c>
      <c r="AW25" s="42">
        <v>832.3</v>
      </c>
      <c r="AX25" s="43">
        <f t="shared" si="21"/>
        <v>18.495555555555555</v>
      </c>
      <c r="AY25" s="42"/>
      <c r="AZ25" s="43">
        <f t="shared" si="46"/>
        <v>0</v>
      </c>
      <c r="BA25" s="124">
        <v>800.4</v>
      </c>
      <c r="BB25" s="125">
        <f t="shared" si="47"/>
        <v>17.786666666666665</v>
      </c>
    </row>
    <row r="26" spans="1:54" x14ac:dyDescent="0.3">
      <c r="A26" s="44" t="s">
        <v>16</v>
      </c>
      <c r="B26" s="45" t="s">
        <v>63</v>
      </c>
      <c r="C26" s="46">
        <v>15</v>
      </c>
      <c r="D26" s="42">
        <f t="shared" si="0"/>
        <v>1129</v>
      </c>
      <c r="E26" s="123">
        <f>RCFs!C$43</f>
        <v>75.268515088574986</v>
      </c>
      <c r="F26" s="124">
        <f t="shared" si="1"/>
        <v>749.6</v>
      </c>
      <c r="G26" s="39">
        <f t="shared" si="9"/>
        <v>49.973333333333336</v>
      </c>
      <c r="H26" s="124">
        <v>778.9</v>
      </c>
      <c r="I26" s="39">
        <f t="shared" si="10"/>
        <v>51.926666666666662</v>
      </c>
      <c r="J26" s="111">
        <f t="shared" si="2"/>
        <v>856.8</v>
      </c>
      <c r="K26" s="111">
        <f t="shared" si="2"/>
        <v>1067.0999999999999</v>
      </c>
      <c r="L26" s="111">
        <f t="shared" si="2"/>
        <v>1145</v>
      </c>
      <c r="M26" s="111">
        <f t="shared" si="45"/>
        <v>1261.8</v>
      </c>
      <c r="N26" s="111">
        <f t="shared" si="45"/>
        <v>1557.8</v>
      </c>
      <c r="O26" s="111">
        <f t="shared" si="45"/>
        <v>1674.6</v>
      </c>
      <c r="P26" s="111">
        <f t="shared" si="45"/>
        <v>2336.6999999999998</v>
      </c>
      <c r="Q26" s="124">
        <v>810.3</v>
      </c>
      <c r="R26" s="43">
        <f t="shared" si="11"/>
        <v>54.019999999999996</v>
      </c>
      <c r="S26" s="111">
        <f t="shared" si="23"/>
        <v>1053.3</v>
      </c>
      <c r="T26" s="111">
        <f t="shared" si="12"/>
        <v>1215.4000000000001</v>
      </c>
      <c r="U26" s="124">
        <v>775.8</v>
      </c>
      <c r="V26" s="43">
        <f t="shared" si="13"/>
        <v>51.72</v>
      </c>
      <c r="W26" s="124">
        <v>826.1</v>
      </c>
      <c r="X26" s="43">
        <f t="shared" si="48"/>
        <v>55.073333333333338</v>
      </c>
      <c r="Y26" s="111">
        <f t="shared" si="14"/>
        <v>908.7</v>
      </c>
      <c r="Z26" s="111">
        <f t="shared" si="4"/>
        <v>1131.7</v>
      </c>
      <c r="AA26" s="111">
        <f t="shared" si="4"/>
        <v>1338.2</v>
      </c>
      <c r="AB26" s="111">
        <f t="shared" si="4"/>
        <v>1214.3</v>
      </c>
      <c r="AC26" s="111">
        <f t="shared" si="4"/>
        <v>1792.6</v>
      </c>
      <c r="AD26" s="111">
        <f t="shared" si="4"/>
        <v>2478.3000000000002</v>
      </c>
      <c r="AE26" s="42">
        <v>803</v>
      </c>
      <c r="AF26" s="43">
        <f t="shared" si="5"/>
        <v>53.533333333333331</v>
      </c>
      <c r="AG26" s="110">
        <f t="shared" si="6"/>
        <v>1325</v>
      </c>
      <c r="AH26" s="110">
        <f t="shared" si="6"/>
        <v>1686.3</v>
      </c>
      <c r="AI26" s="110">
        <f t="shared" si="6"/>
        <v>2409</v>
      </c>
      <c r="AJ26" s="124">
        <v>762.3</v>
      </c>
      <c r="AK26" s="43">
        <f t="shared" si="15"/>
        <v>50.82</v>
      </c>
      <c r="AL26" s="124">
        <v>1075.0999999999999</v>
      </c>
      <c r="AM26" s="43">
        <f t="shared" si="7"/>
        <v>71.673333333333332</v>
      </c>
      <c r="AN26" s="42">
        <v>418.5</v>
      </c>
      <c r="AO26" s="43">
        <f t="shared" si="16"/>
        <v>27.9</v>
      </c>
      <c r="AP26" s="110">
        <f t="shared" si="17"/>
        <v>627.70000000000005</v>
      </c>
      <c r="AQ26" s="42">
        <v>845.3</v>
      </c>
      <c r="AR26" s="43">
        <f t="shared" si="18"/>
        <v>56.353333333333332</v>
      </c>
      <c r="AS26" s="110">
        <f t="shared" si="19"/>
        <v>1098.8</v>
      </c>
      <c r="AT26" s="110">
        <f t="shared" si="19"/>
        <v>1225.5999999999999</v>
      </c>
      <c r="AU26" s="42">
        <v>818.7</v>
      </c>
      <c r="AV26" s="43">
        <f t="shared" si="20"/>
        <v>54.580000000000005</v>
      </c>
      <c r="AW26" s="42">
        <v>832.3</v>
      </c>
      <c r="AX26" s="43">
        <f t="shared" si="21"/>
        <v>55.486666666666665</v>
      </c>
      <c r="AY26" s="42"/>
      <c r="AZ26" s="43">
        <f t="shared" si="46"/>
        <v>0</v>
      </c>
      <c r="BA26" s="124">
        <v>800.4</v>
      </c>
      <c r="BB26" s="125">
        <f t="shared" si="47"/>
        <v>53.36</v>
      </c>
    </row>
    <row r="27" spans="1:54" x14ac:dyDescent="0.3">
      <c r="A27" s="44" t="s">
        <v>17</v>
      </c>
      <c r="B27" s="45" t="s">
        <v>63</v>
      </c>
      <c r="C27" s="46">
        <v>30</v>
      </c>
      <c r="D27" s="42">
        <f t="shared" si="0"/>
        <v>2258.1</v>
      </c>
      <c r="E27" s="123">
        <f>RCFs!C$43</f>
        <v>75.268515088574986</v>
      </c>
      <c r="F27" s="124">
        <f t="shared" si="1"/>
        <v>749.6</v>
      </c>
      <c r="G27" s="39">
        <f t="shared" si="9"/>
        <v>24.986666666666668</v>
      </c>
      <c r="H27" s="124">
        <v>778.9</v>
      </c>
      <c r="I27" s="39">
        <f t="shared" si="10"/>
        <v>25.963333333333331</v>
      </c>
      <c r="J27" s="111">
        <f t="shared" si="2"/>
        <v>856.8</v>
      </c>
      <c r="K27" s="111">
        <f t="shared" si="2"/>
        <v>1067.0999999999999</v>
      </c>
      <c r="L27" s="111">
        <f t="shared" si="2"/>
        <v>1145</v>
      </c>
      <c r="M27" s="111">
        <f t="shared" si="45"/>
        <v>1261.8</v>
      </c>
      <c r="N27" s="111">
        <f t="shared" si="45"/>
        <v>1557.8</v>
      </c>
      <c r="O27" s="111">
        <f t="shared" si="45"/>
        <v>1674.6</v>
      </c>
      <c r="P27" s="111">
        <f t="shared" si="45"/>
        <v>2336.6999999999998</v>
      </c>
      <c r="Q27" s="124">
        <v>810.3</v>
      </c>
      <c r="R27" s="43">
        <f t="shared" si="11"/>
        <v>27.009999999999998</v>
      </c>
      <c r="S27" s="111">
        <f t="shared" si="23"/>
        <v>1053.3</v>
      </c>
      <c r="T27" s="111">
        <f t="shared" si="12"/>
        <v>1215.4000000000001</v>
      </c>
      <c r="U27" s="124">
        <v>775.8</v>
      </c>
      <c r="V27" s="43">
        <f t="shared" si="13"/>
        <v>25.86</v>
      </c>
      <c r="W27" s="124">
        <v>826.1</v>
      </c>
      <c r="X27" s="43">
        <f t="shared" si="48"/>
        <v>27.536666666666669</v>
      </c>
      <c r="Y27" s="111">
        <f t="shared" si="14"/>
        <v>908.7</v>
      </c>
      <c r="Z27" s="111">
        <f t="shared" si="4"/>
        <v>1131.7</v>
      </c>
      <c r="AA27" s="111">
        <f t="shared" si="4"/>
        <v>1338.2</v>
      </c>
      <c r="AB27" s="111">
        <f t="shared" si="4"/>
        <v>1214.3</v>
      </c>
      <c r="AC27" s="111">
        <f t="shared" si="4"/>
        <v>1792.6</v>
      </c>
      <c r="AD27" s="111">
        <f t="shared" si="4"/>
        <v>2478.3000000000002</v>
      </c>
      <c r="AE27" s="42">
        <v>803</v>
      </c>
      <c r="AF27" s="43">
        <f t="shared" si="5"/>
        <v>26.766666666666666</v>
      </c>
      <c r="AG27" s="110">
        <f t="shared" si="6"/>
        <v>1325</v>
      </c>
      <c r="AH27" s="110">
        <f t="shared" si="6"/>
        <v>1686.3</v>
      </c>
      <c r="AI27" s="110">
        <f t="shared" si="6"/>
        <v>2409</v>
      </c>
      <c r="AJ27" s="124">
        <v>762.3</v>
      </c>
      <c r="AK27" s="43">
        <f t="shared" si="15"/>
        <v>25.41</v>
      </c>
      <c r="AL27" s="124">
        <v>1075.0999999999999</v>
      </c>
      <c r="AM27" s="43">
        <f t="shared" si="7"/>
        <v>35.836666666666666</v>
      </c>
      <c r="AN27" s="42">
        <v>845</v>
      </c>
      <c r="AO27" s="43">
        <f t="shared" si="16"/>
        <v>28.166666666666668</v>
      </c>
      <c r="AP27" s="110">
        <f t="shared" si="17"/>
        <v>1267.5</v>
      </c>
      <c r="AQ27" s="42">
        <v>845.3</v>
      </c>
      <c r="AR27" s="43">
        <f t="shared" si="18"/>
        <v>28.176666666666666</v>
      </c>
      <c r="AS27" s="110">
        <f t="shared" si="19"/>
        <v>1098.8</v>
      </c>
      <c r="AT27" s="110">
        <f t="shared" si="19"/>
        <v>1225.5999999999999</v>
      </c>
      <c r="AU27" s="42">
        <v>818.7</v>
      </c>
      <c r="AV27" s="43">
        <f t="shared" si="20"/>
        <v>27.290000000000003</v>
      </c>
      <c r="AW27" s="42">
        <v>832.3</v>
      </c>
      <c r="AX27" s="43">
        <f t="shared" si="21"/>
        <v>27.743333333333332</v>
      </c>
      <c r="AY27" s="42"/>
      <c r="AZ27" s="43">
        <f t="shared" si="46"/>
        <v>0</v>
      </c>
      <c r="BA27" s="124">
        <v>800.4</v>
      </c>
      <c r="BB27" s="125">
        <f t="shared" si="47"/>
        <v>26.68</v>
      </c>
    </row>
    <row r="28" spans="1:54" x14ac:dyDescent="0.3">
      <c r="A28" s="44" t="s">
        <v>18</v>
      </c>
      <c r="B28" s="45" t="s">
        <v>63</v>
      </c>
      <c r="C28" s="46">
        <v>45</v>
      </c>
      <c r="D28" s="42">
        <f t="shared" si="0"/>
        <v>3387.1</v>
      </c>
      <c r="E28" s="123">
        <f>RCFs!C$43</f>
        <v>75.268515088574986</v>
      </c>
      <c r="F28" s="124">
        <f t="shared" si="1"/>
        <v>749.6</v>
      </c>
      <c r="G28" s="39">
        <f t="shared" si="9"/>
        <v>16.657777777777778</v>
      </c>
      <c r="H28" s="124">
        <v>778.9</v>
      </c>
      <c r="I28" s="39">
        <f t="shared" si="10"/>
        <v>17.308888888888887</v>
      </c>
      <c r="J28" s="111">
        <f t="shared" ref="J28:L36" si="49">ROUND($C28*$I28*J$6,1)</f>
        <v>856.8</v>
      </c>
      <c r="K28" s="111">
        <f t="shared" si="49"/>
        <v>1067.0999999999999</v>
      </c>
      <c r="L28" s="111">
        <f t="shared" si="49"/>
        <v>1145</v>
      </c>
      <c r="M28" s="111">
        <f t="shared" si="45"/>
        <v>1261.8</v>
      </c>
      <c r="N28" s="111">
        <f t="shared" si="45"/>
        <v>1557.8</v>
      </c>
      <c r="O28" s="111">
        <f t="shared" si="45"/>
        <v>1674.6</v>
      </c>
      <c r="P28" s="111">
        <f t="shared" si="45"/>
        <v>2336.6999999999998</v>
      </c>
      <c r="Q28" s="124">
        <v>810.3</v>
      </c>
      <c r="R28" s="43">
        <f t="shared" si="11"/>
        <v>18.006666666666664</v>
      </c>
      <c r="S28" s="111">
        <f t="shared" si="23"/>
        <v>1053.3</v>
      </c>
      <c r="T28" s="111">
        <f t="shared" si="12"/>
        <v>1215.4000000000001</v>
      </c>
      <c r="U28" s="124">
        <v>775.8</v>
      </c>
      <c r="V28" s="43">
        <f t="shared" si="13"/>
        <v>17.239999999999998</v>
      </c>
      <c r="W28" s="124">
        <v>826.1</v>
      </c>
      <c r="X28" s="43">
        <f t="shared" si="48"/>
        <v>18.357777777777777</v>
      </c>
      <c r="Y28" s="111">
        <f t="shared" si="14"/>
        <v>908.7</v>
      </c>
      <c r="Z28" s="111">
        <f t="shared" si="14"/>
        <v>1131.7</v>
      </c>
      <c r="AA28" s="111">
        <f t="shared" si="14"/>
        <v>1338.2</v>
      </c>
      <c r="AB28" s="111">
        <f t="shared" si="14"/>
        <v>1214.3</v>
      </c>
      <c r="AC28" s="111">
        <f t="shared" si="14"/>
        <v>1792.6</v>
      </c>
      <c r="AD28" s="111">
        <f t="shared" si="14"/>
        <v>2478.3000000000002</v>
      </c>
      <c r="AE28" s="42">
        <v>803</v>
      </c>
      <c r="AF28" s="43">
        <f t="shared" si="5"/>
        <v>17.844444444444445</v>
      </c>
      <c r="AG28" s="110">
        <f t="shared" si="6"/>
        <v>1325</v>
      </c>
      <c r="AH28" s="110">
        <f t="shared" si="6"/>
        <v>1686.3</v>
      </c>
      <c r="AI28" s="110">
        <f t="shared" si="6"/>
        <v>2409</v>
      </c>
      <c r="AJ28" s="124">
        <v>762.3</v>
      </c>
      <c r="AK28" s="43">
        <f t="shared" si="15"/>
        <v>16.939999999999998</v>
      </c>
      <c r="AL28" s="124">
        <v>1075.0999999999999</v>
      </c>
      <c r="AM28" s="43">
        <f t="shared" si="7"/>
        <v>23.891111111111108</v>
      </c>
      <c r="AN28" s="42">
        <v>845</v>
      </c>
      <c r="AO28" s="43">
        <f t="shared" si="16"/>
        <v>18.777777777777779</v>
      </c>
      <c r="AP28" s="110">
        <f t="shared" si="17"/>
        <v>1267.5</v>
      </c>
      <c r="AQ28" s="42">
        <v>845.3</v>
      </c>
      <c r="AR28" s="43">
        <f t="shared" si="18"/>
        <v>18.784444444444443</v>
      </c>
      <c r="AS28" s="110">
        <f t="shared" si="19"/>
        <v>1098.8</v>
      </c>
      <c r="AT28" s="110">
        <f t="shared" si="19"/>
        <v>1225.5999999999999</v>
      </c>
      <c r="AU28" s="42">
        <v>818.7</v>
      </c>
      <c r="AV28" s="43">
        <f t="shared" si="20"/>
        <v>18.193333333333335</v>
      </c>
      <c r="AW28" s="42">
        <v>832.3</v>
      </c>
      <c r="AX28" s="43">
        <f t="shared" si="21"/>
        <v>18.495555555555555</v>
      </c>
      <c r="AY28" s="42"/>
      <c r="AZ28" s="43">
        <f t="shared" si="46"/>
        <v>0</v>
      </c>
      <c r="BA28" s="124">
        <v>800.4</v>
      </c>
      <c r="BB28" s="125">
        <f t="shared" si="47"/>
        <v>17.786666666666665</v>
      </c>
    </row>
    <row r="29" spans="1:54" s="257" customFormat="1" x14ac:dyDescent="0.3">
      <c r="A29" s="201" t="s">
        <v>178</v>
      </c>
      <c r="B29" s="247" t="s">
        <v>63</v>
      </c>
      <c r="C29" s="248">
        <v>63.6</v>
      </c>
      <c r="D29" s="249">
        <f t="shared" ref="D29" si="50">ROUND(E29*C29,1)</f>
        <v>4787.1000000000004</v>
      </c>
      <c r="E29" s="250">
        <f>RCFs!C$43</f>
        <v>75.268515088574986</v>
      </c>
      <c r="F29" s="251">
        <f t="shared" si="1"/>
        <v>749.6</v>
      </c>
      <c r="G29" s="252">
        <f t="shared" ref="G29" si="51">F29/C29</f>
        <v>11.786163522012579</v>
      </c>
      <c r="H29" s="251">
        <v>778.9</v>
      </c>
      <c r="I29" s="252">
        <f t="shared" ref="I29" si="52">H29/C29</f>
        <v>12.24685534591195</v>
      </c>
      <c r="J29" s="253">
        <f t="shared" si="49"/>
        <v>856.8</v>
      </c>
      <c r="K29" s="253">
        <f t="shared" si="49"/>
        <v>1067.0999999999999</v>
      </c>
      <c r="L29" s="253">
        <f t="shared" si="49"/>
        <v>1145</v>
      </c>
      <c r="M29" s="253">
        <f t="shared" si="45"/>
        <v>1261.8</v>
      </c>
      <c r="N29" s="253">
        <f t="shared" si="45"/>
        <v>1557.8</v>
      </c>
      <c r="O29" s="253">
        <f t="shared" si="45"/>
        <v>1674.6</v>
      </c>
      <c r="P29" s="253">
        <f t="shared" si="45"/>
        <v>2336.6999999999998</v>
      </c>
      <c r="Q29" s="251">
        <f>Q28</f>
        <v>810.3</v>
      </c>
      <c r="R29" s="254">
        <f t="shared" ref="R29" si="53">Q29/C29</f>
        <v>12.740566037735848</v>
      </c>
      <c r="S29" s="253">
        <f t="shared" si="23"/>
        <v>1053.3</v>
      </c>
      <c r="T29" s="253">
        <f t="shared" si="12"/>
        <v>1215.4000000000001</v>
      </c>
      <c r="U29" s="251">
        <v>775.8</v>
      </c>
      <c r="V29" s="254">
        <f t="shared" ref="V29" si="54">U29/C29</f>
        <v>12.198113207547168</v>
      </c>
      <c r="W29" s="251">
        <v>826.1</v>
      </c>
      <c r="X29" s="254">
        <f t="shared" ref="X29" si="55">W29/C29</f>
        <v>12.988993710691824</v>
      </c>
      <c r="Y29" s="253">
        <f t="shared" si="14"/>
        <v>908.7</v>
      </c>
      <c r="Z29" s="253">
        <f t="shared" si="14"/>
        <v>1131.7</v>
      </c>
      <c r="AA29" s="253">
        <f t="shared" si="14"/>
        <v>1338.2</v>
      </c>
      <c r="AB29" s="253">
        <f t="shared" si="14"/>
        <v>1214.3</v>
      </c>
      <c r="AC29" s="253">
        <f t="shared" si="14"/>
        <v>1792.6</v>
      </c>
      <c r="AD29" s="253">
        <f t="shared" si="14"/>
        <v>2478.3000000000002</v>
      </c>
      <c r="AE29" s="249">
        <f>AE28</f>
        <v>803</v>
      </c>
      <c r="AF29" s="254">
        <f t="shared" ref="AF29" si="56">AE29/C29</f>
        <v>12.625786163522012</v>
      </c>
      <c r="AG29" s="255">
        <f t="shared" si="6"/>
        <v>1325</v>
      </c>
      <c r="AH29" s="255">
        <f t="shared" si="6"/>
        <v>1686.3</v>
      </c>
      <c r="AI29" s="255">
        <f t="shared" si="6"/>
        <v>2409</v>
      </c>
      <c r="AJ29" s="251">
        <v>762.3</v>
      </c>
      <c r="AK29" s="254">
        <f t="shared" ref="AK29" si="57">AJ29/C29</f>
        <v>11.985849056603772</v>
      </c>
      <c r="AL29" s="251">
        <v>1075.0999999999999</v>
      </c>
      <c r="AM29" s="254">
        <f t="shared" ref="AM29" si="58">AL29/C29</f>
        <v>16.904088050314463</v>
      </c>
      <c r="AN29" s="42">
        <v>845</v>
      </c>
      <c r="AO29" s="43">
        <f t="shared" si="16"/>
        <v>13.286163522012579</v>
      </c>
      <c r="AP29" s="255">
        <f t="shared" si="17"/>
        <v>1267.5</v>
      </c>
      <c r="AQ29" s="249">
        <f>AQ28</f>
        <v>845.3</v>
      </c>
      <c r="AR29" s="254">
        <f t="shared" ref="AR29" si="59">AQ29/C29</f>
        <v>13.290880503144653</v>
      </c>
      <c r="AS29" s="255">
        <f t="shared" si="19"/>
        <v>1098.8</v>
      </c>
      <c r="AT29" s="255">
        <f t="shared" si="19"/>
        <v>1225.5999999999999</v>
      </c>
      <c r="AU29" s="249">
        <v>818.7</v>
      </c>
      <c r="AV29" s="254">
        <f t="shared" ref="AV29" si="60">AU29/C29</f>
        <v>12.872641509433963</v>
      </c>
      <c r="AW29" s="249">
        <v>2035.9</v>
      </c>
      <c r="AX29" s="43">
        <f t="shared" si="21"/>
        <v>32.011006289308177</v>
      </c>
      <c r="AY29" s="249"/>
      <c r="AZ29" s="254">
        <f t="shared" ref="AZ29" si="61">AY29/C29</f>
        <v>0</v>
      </c>
      <c r="BA29" s="124">
        <v>800.4</v>
      </c>
      <c r="BB29" s="256">
        <f t="shared" ref="BB29" si="62">BA29/C29</f>
        <v>12.584905660377357</v>
      </c>
    </row>
    <row r="30" spans="1:54" x14ac:dyDescent="0.3">
      <c r="A30" s="44" t="s">
        <v>13</v>
      </c>
      <c r="B30" s="49" t="s">
        <v>14</v>
      </c>
      <c r="C30" s="46">
        <v>21.43</v>
      </c>
      <c r="D30" s="42">
        <f t="shared" si="0"/>
        <v>1613</v>
      </c>
      <c r="E30" s="123">
        <f>RCFs!C$43</f>
        <v>75.268515088574986</v>
      </c>
      <c r="F30" s="124">
        <f t="shared" si="1"/>
        <v>618.4</v>
      </c>
      <c r="G30" s="39">
        <f t="shared" si="9"/>
        <v>28.856742883807744</v>
      </c>
      <c r="H30" s="124">
        <v>642.6</v>
      </c>
      <c r="I30" s="39">
        <f t="shared" si="10"/>
        <v>29.986000933271118</v>
      </c>
      <c r="J30" s="111">
        <f t="shared" si="49"/>
        <v>706.9</v>
      </c>
      <c r="K30" s="111">
        <f t="shared" si="49"/>
        <v>880.4</v>
      </c>
      <c r="L30" s="111">
        <f t="shared" si="49"/>
        <v>944.6</v>
      </c>
      <c r="M30" s="111">
        <f t="shared" si="45"/>
        <v>1041</v>
      </c>
      <c r="N30" s="111">
        <f t="shared" si="45"/>
        <v>1285.2</v>
      </c>
      <c r="O30" s="111">
        <f t="shared" si="45"/>
        <v>1381.6</v>
      </c>
      <c r="P30" s="111">
        <f t="shared" si="45"/>
        <v>1927.8</v>
      </c>
      <c r="Q30" s="124">
        <v>668.1</v>
      </c>
      <c r="R30" s="43">
        <f t="shared" si="11"/>
        <v>31.175921605226321</v>
      </c>
      <c r="S30" s="111">
        <f t="shared" si="23"/>
        <v>868.5</v>
      </c>
      <c r="T30" s="111">
        <f t="shared" si="12"/>
        <v>1002.1</v>
      </c>
      <c r="U30" s="124">
        <v>604.5</v>
      </c>
      <c r="V30" s="43">
        <f t="shared" si="13"/>
        <v>28.208119458702754</v>
      </c>
      <c r="W30" s="124">
        <v>643.9</v>
      </c>
      <c r="X30" s="43">
        <f t="shared" si="48"/>
        <v>30.046663555762947</v>
      </c>
      <c r="Y30" s="111">
        <f t="shared" ref="Y30:AD30" si="63">$W$30</f>
        <v>643.9</v>
      </c>
      <c r="Z30" s="111">
        <f t="shared" si="63"/>
        <v>643.9</v>
      </c>
      <c r="AA30" s="111">
        <f t="shared" si="63"/>
        <v>643.9</v>
      </c>
      <c r="AB30" s="111">
        <f t="shared" si="63"/>
        <v>643.9</v>
      </c>
      <c r="AC30" s="111">
        <f t="shared" si="63"/>
        <v>643.9</v>
      </c>
      <c r="AD30" s="111">
        <f t="shared" si="63"/>
        <v>643.9</v>
      </c>
      <c r="AE30" s="42">
        <v>662.4</v>
      </c>
      <c r="AF30" s="125">
        <f t="shared" si="5"/>
        <v>30.909939337377509</v>
      </c>
      <c r="AG30" s="110">
        <f t="shared" si="6"/>
        <v>1093</v>
      </c>
      <c r="AH30" s="110">
        <f t="shared" si="6"/>
        <v>1391</v>
      </c>
      <c r="AI30" s="110">
        <f t="shared" si="6"/>
        <v>1987.2</v>
      </c>
      <c r="AJ30" s="124">
        <v>562.1</v>
      </c>
      <c r="AK30" s="43">
        <f t="shared" si="15"/>
        <v>26.229584694353711</v>
      </c>
      <c r="AL30" s="124">
        <v>764.5</v>
      </c>
      <c r="AM30" s="43">
        <f t="shared" si="7"/>
        <v>35.674288380774613</v>
      </c>
      <c r="AN30" s="42">
        <v>696.3</v>
      </c>
      <c r="AO30" s="43">
        <f t="shared" si="16"/>
        <v>32.491833877741485</v>
      </c>
      <c r="AP30" s="110">
        <f t="shared" si="17"/>
        <v>1044.4000000000001</v>
      </c>
      <c r="AQ30" s="42">
        <v>697</v>
      </c>
      <c r="AR30" s="43">
        <f t="shared" si="18"/>
        <v>32.524498366775546</v>
      </c>
      <c r="AS30" s="110">
        <f t="shared" si="19"/>
        <v>906.1</v>
      </c>
      <c r="AT30" s="110">
        <f t="shared" si="19"/>
        <v>1010.6</v>
      </c>
      <c r="AU30" s="42">
        <v>818.7</v>
      </c>
      <c r="AV30" s="43">
        <f t="shared" si="20"/>
        <v>38.203453103126463</v>
      </c>
      <c r="AW30" s="42">
        <v>686</v>
      </c>
      <c r="AX30" s="43">
        <f t="shared" si="21"/>
        <v>32.011199253383111</v>
      </c>
      <c r="AY30" s="42"/>
      <c r="AZ30" s="43">
        <f t="shared" si="46"/>
        <v>0</v>
      </c>
      <c r="BA30" s="175">
        <f>ROUNDDOWN(C30*BB30,1)</f>
        <v>659.8</v>
      </c>
      <c r="BB30" s="125">
        <f>RCFs!I$41</f>
        <v>30.791</v>
      </c>
    </row>
    <row r="31" spans="1:54" s="104" customFormat="1" ht="27.6" x14ac:dyDescent="0.3">
      <c r="A31" s="167" t="s">
        <v>77</v>
      </c>
      <c r="B31" s="168" t="s">
        <v>149</v>
      </c>
      <c r="C31" s="103">
        <v>0</v>
      </c>
      <c r="D31" s="103">
        <v>0</v>
      </c>
      <c r="E31" s="103">
        <v>0</v>
      </c>
      <c r="F31" s="103">
        <v>0</v>
      </c>
      <c r="G31" s="103">
        <v>0</v>
      </c>
      <c r="H31" s="103">
        <v>0</v>
      </c>
      <c r="I31" s="103">
        <v>0</v>
      </c>
      <c r="J31" s="111">
        <f t="shared" si="49"/>
        <v>0</v>
      </c>
      <c r="K31" s="111">
        <f t="shared" si="49"/>
        <v>0</v>
      </c>
      <c r="L31" s="111">
        <f t="shared" si="49"/>
        <v>0</v>
      </c>
      <c r="M31" s="112">
        <v>0</v>
      </c>
      <c r="N31" s="112">
        <v>0</v>
      </c>
      <c r="O31" s="112">
        <v>0</v>
      </c>
      <c r="P31" s="112">
        <v>0</v>
      </c>
      <c r="Q31" s="103">
        <v>0</v>
      </c>
      <c r="R31" s="103">
        <v>0</v>
      </c>
      <c r="S31" s="112">
        <f t="shared" si="23"/>
        <v>0</v>
      </c>
      <c r="T31" s="112">
        <f t="shared" si="12"/>
        <v>0</v>
      </c>
      <c r="U31" s="103">
        <v>0</v>
      </c>
      <c r="V31" s="103">
        <v>0</v>
      </c>
      <c r="W31" s="103">
        <v>0</v>
      </c>
      <c r="X31" s="103">
        <v>0</v>
      </c>
      <c r="Y31" s="113" t="s">
        <v>79</v>
      </c>
      <c r="Z31" s="112">
        <f>2205.8*1.038</f>
        <v>2289.6204000000002</v>
      </c>
      <c r="AA31" s="113" t="s">
        <v>79</v>
      </c>
      <c r="AB31" s="112">
        <v>2465.9</v>
      </c>
      <c r="AC31" s="112">
        <v>3626.6</v>
      </c>
      <c r="AD31" s="112">
        <v>3626.6</v>
      </c>
      <c r="AE31" s="103">
        <v>0</v>
      </c>
      <c r="AF31" s="103">
        <v>0</v>
      </c>
      <c r="AG31" s="112">
        <v>0</v>
      </c>
      <c r="AH31" s="112">
        <v>0</v>
      </c>
      <c r="AI31" s="112">
        <v>0</v>
      </c>
      <c r="AJ31" s="103">
        <v>0</v>
      </c>
      <c r="AK31" s="103">
        <v>0</v>
      </c>
      <c r="AL31" s="103">
        <v>0</v>
      </c>
      <c r="AM31" s="103">
        <v>0</v>
      </c>
      <c r="AN31" s="103">
        <v>0</v>
      </c>
      <c r="AO31" s="103">
        <v>0</v>
      </c>
      <c r="AP31" s="112">
        <v>0</v>
      </c>
      <c r="AQ31" s="103">
        <v>0</v>
      </c>
      <c r="AR31" s="103">
        <v>0</v>
      </c>
      <c r="AS31" s="112">
        <v>0</v>
      </c>
      <c r="AT31" s="112">
        <v>0</v>
      </c>
      <c r="AU31" s="103">
        <v>0</v>
      </c>
      <c r="AV31" s="103">
        <v>0</v>
      </c>
      <c r="AW31" s="103"/>
      <c r="AX31" s="180"/>
      <c r="AY31" s="103">
        <v>0</v>
      </c>
      <c r="AZ31" s="180">
        <v>0</v>
      </c>
      <c r="BA31" s="103">
        <v>0</v>
      </c>
      <c r="BB31" s="103">
        <v>0</v>
      </c>
    </row>
    <row r="32" spans="1:54" s="104" customFormat="1" ht="27.6" x14ac:dyDescent="0.3">
      <c r="A32" s="167" t="s">
        <v>77</v>
      </c>
      <c r="B32" s="168" t="s">
        <v>160</v>
      </c>
      <c r="C32" s="103">
        <v>0</v>
      </c>
      <c r="D32" s="103">
        <v>0</v>
      </c>
      <c r="E32" s="103">
        <v>0</v>
      </c>
      <c r="F32" s="103">
        <v>0</v>
      </c>
      <c r="G32" s="103">
        <v>0</v>
      </c>
      <c r="H32" s="103">
        <v>0</v>
      </c>
      <c r="I32" s="103">
        <v>0</v>
      </c>
      <c r="J32" s="111">
        <f t="shared" si="49"/>
        <v>0</v>
      </c>
      <c r="K32" s="111">
        <f t="shared" si="49"/>
        <v>0</v>
      </c>
      <c r="L32" s="111">
        <f t="shared" si="49"/>
        <v>0</v>
      </c>
      <c r="M32" s="112">
        <v>0</v>
      </c>
      <c r="N32" s="112">
        <v>0</v>
      </c>
      <c r="O32" s="112">
        <v>0</v>
      </c>
      <c r="P32" s="112">
        <v>0</v>
      </c>
      <c r="Q32" s="103">
        <v>0</v>
      </c>
      <c r="R32" s="103">
        <v>0</v>
      </c>
      <c r="S32" s="112">
        <f t="shared" si="23"/>
        <v>0</v>
      </c>
      <c r="T32" s="112">
        <f t="shared" si="12"/>
        <v>0</v>
      </c>
      <c r="U32" s="103">
        <v>0</v>
      </c>
      <c r="V32" s="103">
        <v>0</v>
      </c>
      <c r="W32" s="103">
        <v>0</v>
      </c>
      <c r="X32" s="103">
        <v>0</v>
      </c>
      <c r="Y32" s="113">
        <v>1835.5</v>
      </c>
      <c r="Z32" s="112">
        <f>2205.8*1.038</f>
        <v>2289.6204000000002</v>
      </c>
      <c r="AA32" s="113" t="s">
        <v>79</v>
      </c>
      <c r="AB32" s="112">
        <v>2465.9</v>
      </c>
      <c r="AC32" s="112">
        <v>1671.4</v>
      </c>
      <c r="AD32" s="113" t="s">
        <v>79</v>
      </c>
      <c r="AE32" s="103">
        <v>0</v>
      </c>
      <c r="AF32" s="103">
        <v>0</v>
      </c>
      <c r="AG32" s="112">
        <v>0</v>
      </c>
      <c r="AH32" s="112">
        <v>0</v>
      </c>
      <c r="AI32" s="112">
        <v>0</v>
      </c>
      <c r="AJ32" s="103">
        <v>0</v>
      </c>
      <c r="AK32" s="103">
        <v>0</v>
      </c>
      <c r="AL32" s="103">
        <v>0</v>
      </c>
      <c r="AM32" s="103">
        <v>0</v>
      </c>
      <c r="AN32" s="103">
        <v>0</v>
      </c>
      <c r="AO32" s="103">
        <v>0</v>
      </c>
      <c r="AP32" s="112">
        <v>0</v>
      </c>
      <c r="AQ32" s="103">
        <v>0</v>
      </c>
      <c r="AR32" s="103">
        <v>0</v>
      </c>
      <c r="AS32" s="112">
        <v>0</v>
      </c>
      <c r="AT32" s="112">
        <v>0</v>
      </c>
      <c r="AU32" s="103">
        <v>0</v>
      </c>
      <c r="AV32" s="103">
        <v>0</v>
      </c>
      <c r="AW32" s="103"/>
      <c r="AX32" s="180"/>
      <c r="AY32" s="103">
        <v>0</v>
      </c>
      <c r="AZ32" s="180">
        <v>0</v>
      </c>
      <c r="BA32" s="103">
        <v>0</v>
      </c>
      <c r="BB32" s="103">
        <v>0</v>
      </c>
    </row>
    <row r="33" spans="1:54" s="104" customFormat="1" ht="27.6" x14ac:dyDescent="0.3">
      <c r="A33" s="167" t="s">
        <v>78</v>
      </c>
      <c r="B33" s="168" t="s">
        <v>150</v>
      </c>
      <c r="C33" s="103">
        <v>0</v>
      </c>
      <c r="D33" s="103">
        <v>0</v>
      </c>
      <c r="E33" s="103">
        <v>0</v>
      </c>
      <c r="F33" s="103">
        <v>0</v>
      </c>
      <c r="G33" s="103">
        <v>0</v>
      </c>
      <c r="H33" s="103">
        <v>0</v>
      </c>
      <c r="I33" s="103">
        <v>0</v>
      </c>
      <c r="J33" s="111">
        <f t="shared" si="49"/>
        <v>0</v>
      </c>
      <c r="K33" s="111">
        <f t="shared" si="49"/>
        <v>0</v>
      </c>
      <c r="L33" s="111">
        <f t="shared" si="49"/>
        <v>0</v>
      </c>
      <c r="M33" s="112">
        <v>0</v>
      </c>
      <c r="N33" s="112">
        <v>0</v>
      </c>
      <c r="O33" s="112">
        <v>0</v>
      </c>
      <c r="P33" s="112">
        <v>0</v>
      </c>
      <c r="Q33" s="103">
        <v>0</v>
      </c>
      <c r="R33" s="103">
        <v>0</v>
      </c>
      <c r="S33" s="112">
        <f t="shared" si="23"/>
        <v>0</v>
      </c>
      <c r="T33" s="112">
        <f t="shared" si="12"/>
        <v>0</v>
      </c>
      <c r="U33" s="103">
        <v>0</v>
      </c>
      <c r="V33" s="103">
        <v>0</v>
      </c>
      <c r="W33" s="103">
        <v>0</v>
      </c>
      <c r="X33" s="103">
        <v>0</v>
      </c>
      <c r="Y33" s="113" t="s">
        <v>79</v>
      </c>
      <c r="Z33" s="112">
        <v>884.8</v>
      </c>
      <c r="AA33" s="113" t="s">
        <v>79</v>
      </c>
      <c r="AB33" s="112">
        <v>949.7</v>
      </c>
      <c r="AC33" s="112">
        <v>1401.3</v>
      </c>
      <c r="AD33" s="112">
        <v>1401.3</v>
      </c>
      <c r="AE33" s="103">
        <v>0</v>
      </c>
      <c r="AF33" s="103">
        <v>0</v>
      </c>
      <c r="AG33" s="112">
        <v>0</v>
      </c>
      <c r="AH33" s="112">
        <v>0</v>
      </c>
      <c r="AI33" s="112">
        <v>0</v>
      </c>
      <c r="AJ33" s="103">
        <v>0</v>
      </c>
      <c r="AK33" s="103">
        <v>0</v>
      </c>
      <c r="AL33" s="103">
        <v>0</v>
      </c>
      <c r="AM33" s="103">
        <v>0</v>
      </c>
      <c r="AN33" s="103">
        <v>0</v>
      </c>
      <c r="AO33" s="103">
        <v>0</v>
      </c>
      <c r="AP33" s="112">
        <v>0</v>
      </c>
      <c r="AQ33" s="103">
        <v>0</v>
      </c>
      <c r="AR33" s="103">
        <v>0</v>
      </c>
      <c r="AS33" s="112">
        <v>0</v>
      </c>
      <c r="AT33" s="112">
        <v>0</v>
      </c>
      <c r="AU33" s="103">
        <v>0</v>
      </c>
      <c r="AV33" s="103">
        <v>0</v>
      </c>
      <c r="AW33" s="103"/>
      <c r="AX33" s="180"/>
      <c r="AY33" s="103">
        <v>0</v>
      </c>
      <c r="AZ33" s="180">
        <v>0</v>
      </c>
      <c r="BA33" s="103">
        <v>0</v>
      </c>
      <c r="BB33" s="103">
        <v>0</v>
      </c>
    </row>
    <row r="34" spans="1:54" s="104" customFormat="1" ht="27.6" x14ac:dyDescent="0.3">
      <c r="A34" s="167" t="s">
        <v>78</v>
      </c>
      <c r="B34" s="168" t="s">
        <v>151</v>
      </c>
      <c r="C34" s="103">
        <v>0</v>
      </c>
      <c r="D34" s="103">
        <v>0</v>
      </c>
      <c r="E34" s="103">
        <v>0</v>
      </c>
      <c r="F34" s="103">
        <v>0</v>
      </c>
      <c r="G34" s="103">
        <v>0</v>
      </c>
      <c r="H34" s="103">
        <v>0</v>
      </c>
      <c r="I34" s="103">
        <v>0</v>
      </c>
      <c r="J34" s="111">
        <f t="shared" si="49"/>
        <v>0</v>
      </c>
      <c r="K34" s="111">
        <f t="shared" si="49"/>
        <v>0</v>
      </c>
      <c r="L34" s="111">
        <f t="shared" si="49"/>
        <v>0</v>
      </c>
      <c r="M34" s="112">
        <v>0</v>
      </c>
      <c r="N34" s="112">
        <v>0</v>
      </c>
      <c r="O34" s="112">
        <v>0</v>
      </c>
      <c r="P34" s="112">
        <v>0</v>
      </c>
      <c r="Q34" s="103">
        <v>0</v>
      </c>
      <c r="R34" s="103">
        <v>0</v>
      </c>
      <c r="S34" s="112">
        <f t="shared" si="23"/>
        <v>0</v>
      </c>
      <c r="T34" s="112">
        <f t="shared" si="12"/>
        <v>0</v>
      </c>
      <c r="U34" s="103">
        <v>0</v>
      </c>
      <c r="V34" s="103">
        <v>0</v>
      </c>
      <c r="W34" s="103">
        <v>0</v>
      </c>
      <c r="X34" s="103">
        <v>0</v>
      </c>
      <c r="Y34" s="332">
        <v>710.4</v>
      </c>
      <c r="Z34" s="112">
        <v>884.8</v>
      </c>
      <c r="AA34" s="113" t="s">
        <v>79</v>
      </c>
      <c r="AB34" s="112">
        <v>949.7</v>
      </c>
      <c r="AC34" s="112">
        <v>651.1</v>
      </c>
      <c r="AD34" s="113" t="s">
        <v>79</v>
      </c>
      <c r="AE34" s="103">
        <v>0</v>
      </c>
      <c r="AF34" s="103">
        <v>0</v>
      </c>
      <c r="AG34" s="112">
        <v>0</v>
      </c>
      <c r="AH34" s="112">
        <v>0</v>
      </c>
      <c r="AI34" s="112">
        <v>0</v>
      </c>
      <c r="AJ34" s="103">
        <v>0</v>
      </c>
      <c r="AK34" s="103">
        <v>0</v>
      </c>
      <c r="AL34" s="103">
        <v>0</v>
      </c>
      <c r="AM34" s="103">
        <v>0</v>
      </c>
      <c r="AN34" s="103">
        <v>0</v>
      </c>
      <c r="AO34" s="103">
        <v>0</v>
      </c>
      <c r="AP34" s="112">
        <v>0</v>
      </c>
      <c r="AQ34" s="103">
        <v>0</v>
      </c>
      <c r="AR34" s="103">
        <v>0</v>
      </c>
      <c r="AS34" s="112">
        <v>0</v>
      </c>
      <c r="AT34" s="112">
        <v>0</v>
      </c>
      <c r="AU34" s="103">
        <v>0</v>
      </c>
      <c r="AV34" s="103">
        <v>0</v>
      </c>
      <c r="AW34" s="103"/>
      <c r="AX34" s="180"/>
      <c r="AY34" s="103">
        <v>0</v>
      </c>
      <c r="AZ34" s="180">
        <v>0</v>
      </c>
      <c r="BA34" s="103">
        <v>0</v>
      </c>
      <c r="BB34" s="103">
        <v>0</v>
      </c>
    </row>
    <row r="35" spans="1:54" s="174" customFormat="1" x14ac:dyDescent="0.3">
      <c r="A35" s="169" t="s">
        <v>152</v>
      </c>
      <c r="B35" s="170" t="s">
        <v>154</v>
      </c>
      <c r="C35" s="171">
        <v>2.06</v>
      </c>
      <c r="D35" s="171">
        <v>0</v>
      </c>
      <c r="E35" s="171">
        <v>0</v>
      </c>
      <c r="F35" s="171">
        <v>0</v>
      </c>
      <c r="G35" s="171">
        <v>0</v>
      </c>
      <c r="H35" s="171">
        <v>0</v>
      </c>
      <c r="I35" s="171">
        <v>0</v>
      </c>
      <c r="J35" s="111">
        <f t="shared" si="49"/>
        <v>0</v>
      </c>
      <c r="K35" s="111">
        <f t="shared" si="49"/>
        <v>0</v>
      </c>
      <c r="L35" s="111">
        <f t="shared" si="49"/>
        <v>0</v>
      </c>
      <c r="M35" s="172">
        <v>0</v>
      </c>
      <c r="N35" s="172">
        <v>0</v>
      </c>
      <c r="O35" s="172">
        <v>0</v>
      </c>
      <c r="P35" s="172">
        <v>0</v>
      </c>
      <c r="Q35" s="171">
        <v>0</v>
      </c>
      <c r="R35" s="171">
        <f t="shared" si="11"/>
        <v>0</v>
      </c>
      <c r="S35" s="172">
        <f t="shared" si="23"/>
        <v>0</v>
      </c>
      <c r="T35" s="172">
        <f t="shared" si="12"/>
        <v>0</v>
      </c>
      <c r="U35" s="171">
        <v>0</v>
      </c>
      <c r="V35" s="171">
        <f t="shared" si="13"/>
        <v>0</v>
      </c>
      <c r="W35" s="171">
        <v>0</v>
      </c>
      <c r="X35" s="171">
        <v>0</v>
      </c>
      <c r="Y35" s="172">
        <v>0</v>
      </c>
      <c r="Z35" s="172">
        <v>0</v>
      </c>
      <c r="AA35" s="173">
        <v>0</v>
      </c>
      <c r="AB35" s="172">
        <v>0</v>
      </c>
      <c r="AC35" s="172">
        <v>0</v>
      </c>
      <c r="AD35" s="172">
        <v>0</v>
      </c>
      <c r="AE35" s="171">
        <v>0</v>
      </c>
      <c r="AF35" s="171">
        <v>0</v>
      </c>
      <c r="AG35" s="172">
        <v>0</v>
      </c>
      <c r="AH35" s="172">
        <v>0</v>
      </c>
      <c r="AI35" s="172">
        <v>0</v>
      </c>
      <c r="AJ35" s="171">
        <v>0</v>
      </c>
      <c r="AK35" s="171">
        <v>0</v>
      </c>
      <c r="AL35" s="171">
        <v>0</v>
      </c>
      <c r="AM35" s="171">
        <v>0</v>
      </c>
      <c r="AN35" s="171">
        <v>0</v>
      </c>
      <c r="AO35" s="171">
        <v>0</v>
      </c>
      <c r="AP35" s="172">
        <v>0</v>
      </c>
      <c r="AQ35" s="171">
        <v>0</v>
      </c>
      <c r="AR35" s="171">
        <v>0</v>
      </c>
      <c r="AS35" s="172">
        <v>0</v>
      </c>
      <c r="AT35" s="172">
        <v>0</v>
      </c>
      <c r="AU35" s="171">
        <v>0</v>
      </c>
      <c r="AV35" s="171">
        <v>0</v>
      </c>
      <c r="AW35" s="171"/>
      <c r="AX35" s="181"/>
      <c r="AY35" s="171"/>
      <c r="AZ35" s="181">
        <f>AY35/C35</f>
        <v>0</v>
      </c>
      <c r="BA35" s="171">
        <v>0</v>
      </c>
      <c r="BB35" s="171">
        <v>0</v>
      </c>
    </row>
    <row r="36" spans="1:54" s="174" customFormat="1" x14ac:dyDescent="0.3">
      <c r="A36" s="169" t="s">
        <v>153</v>
      </c>
      <c r="B36" s="170" t="s">
        <v>155</v>
      </c>
      <c r="C36" s="171">
        <v>3.05</v>
      </c>
      <c r="D36" s="171">
        <v>0</v>
      </c>
      <c r="E36" s="171">
        <v>0</v>
      </c>
      <c r="F36" s="171">
        <v>0</v>
      </c>
      <c r="G36" s="171">
        <v>0</v>
      </c>
      <c r="H36" s="171">
        <v>0</v>
      </c>
      <c r="I36" s="171">
        <v>0</v>
      </c>
      <c r="J36" s="111">
        <f t="shared" si="49"/>
        <v>0</v>
      </c>
      <c r="K36" s="111">
        <f t="shared" si="49"/>
        <v>0</v>
      </c>
      <c r="L36" s="111">
        <f t="shared" si="49"/>
        <v>0</v>
      </c>
      <c r="M36" s="172">
        <v>0</v>
      </c>
      <c r="N36" s="172">
        <v>0</v>
      </c>
      <c r="O36" s="172">
        <v>0</v>
      </c>
      <c r="P36" s="172">
        <v>0</v>
      </c>
      <c r="Q36" s="171">
        <v>0</v>
      </c>
      <c r="R36" s="171">
        <f t="shared" si="11"/>
        <v>0</v>
      </c>
      <c r="S36" s="172">
        <f t="shared" si="23"/>
        <v>0</v>
      </c>
      <c r="T36" s="172">
        <f t="shared" si="12"/>
        <v>0</v>
      </c>
      <c r="U36" s="171">
        <v>0</v>
      </c>
      <c r="V36" s="171">
        <f t="shared" si="13"/>
        <v>0</v>
      </c>
      <c r="W36" s="171">
        <v>0</v>
      </c>
      <c r="X36" s="171">
        <v>0</v>
      </c>
      <c r="Y36" s="172">
        <v>0</v>
      </c>
      <c r="Z36" s="172">
        <v>0</v>
      </c>
      <c r="AA36" s="173">
        <v>0</v>
      </c>
      <c r="AB36" s="172">
        <v>0</v>
      </c>
      <c r="AC36" s="172">
        <v>0</v>
      </c>
      <c r="AD36" s="172">
        <v>0</v>
      </c>
      <c r="AE36" s="171">
        <v>0</v>
      </c>
      <c r="AF36" s="171">
        <v>0</v>
      </c>
      <c r="AG36" s="172">
        <v>0</v>
      </c>
      <c r="AH36" s="172">
        <v>0</v>
      </c>
      <c r="AI36" s="172">
        <v>0</v>
      </c>
      <c r="AJ36" s="171">
        <v>0</v>
      </c>
      <c r="AK36" s="171">
        <v>0</v>
      </c>
      <c r="AL36" s="171">
        <v>0</v>
      </c>
      <c r="AM36" s="171">
        <v>0</v>
      </c>
      <c r="AN36" s="171">
        <v>0</v>
      </c>
      <c r="AO36" s="171">
        <v>0</v>
      </c>
      <c r="AP36" s="172">
        <v>0</v>
      </c>
      <c r="AQ36" s="171">
        <v>0</v>
      </c>
      <c r="AR36" s="171">
        <v>0</v>
      </c>
      <c r="AS36" s="172">
        <v>0</v>
      </c>
      <c r="AT36" s="172">
        <v>0</v>
      </c>
      <c r="AU36" s="171">
        <v>0</v>
      </c>
      <c r="AV36" s="171">
        <v>0</v>
      </c>
      <c r="AW36" s="171"/>
      <c r="AX36" s="181"/>
      <c r="AY36" s="171"/>
      <c r="AZ36" s="181">
        <f>AY36/C36</f>
        <v>0</v>
      </c>
      <c r="BA36" s="171">
        <v>0</v>
      </c>
      <c r="BB36" s="171">
        <v>0</v>
      </c>
    </row>
    <row r="37" spans="1:54" x14ac:dyDescent="0.3">
      <c r="A37" s="50"/>
      <c r="B37" s="51"/>
      <c r="C37" s="52"/>
      <c r="D37" s="53"/>
      <c r="E37" s="54"/>
      <c r="F37" s="53"/>
      <c r="G37" s="54"/>
      <c r="H37" s="53"/>
      <c r="I37" s="54"/>
      <c r="J37" s="114"/>
      <c r="K37" s="114"/>
      <c r="L37" s="114"/>
      <c r="M37" s="114"/>
      <c r="N37" s="114"/>
      <c r="O37" s="114"/>
      <c r="P37" s="114"/>
      <c r="Q37" s="53"/>
      <c r="R37" s="55"/>
      <c r="S37" s="114"/>
      <c r="T37" s="114"/>
      <c r="U37" s="53"/>
      <c r="V37" s="55"/>
      <c r="W37" s="53"/>
      <c r="X37" s="55"/>
      <c r="Y37" s="115"/>
      <c r="Z37" s="115"/>
      <c r="AA37" s="115"/>
      <c r="AB37" s="115"/>
      <c r="AC37" s="115"/>
      <c r="AD37" s="115"/>
      <c r="AE37" s="53"/>
      <c r="AF37" s="53"/>
      <c r="AG37" s="116"/>
      <c r="AH37" s="116"/>
      <c r="AI37" s="116"/>
      <c r="AJ37" s="53"/>
      <c r="AK37" s="56"/>
      <c r="AL37" s="53"/>
      <c r="AM37" s="56"/>
      <c r="AN37" s="57"/>
      <c r="AO37" s="58"/>
      <c r="AP37" s="116"/>
      <c r="AQ37" s="53"/>
      <c r="AR37" s="56"/>
      <c r="AS37" s="116"/>
      <c r="AT37" s="116"/>
      <c r="AU37" s="53"/>
      <c r="AV37" s="56"/>
      <c r="AW37" s="53"/>
      <c r="AX37" s="55"/>
      <c r="AY37" s="53"/>
      <c r="AZ37" s="55"/>
      <c r="BA37" s="57"/>
      <c r="BB37" s="58"/>
    </row>
    <row r="38" spans="1:54" x14ac:dyDescent="0.3">
      <c r="A38" s="24"/>
      <c r="B38" s="25" t="s">
        <v>26</v>
      </c>
      <c r="C38" s="26"/>
      <c r="D38" s="27"/>
      <c r="E38" s="28"/>
      <c r="F38" s="27"/>
      <c r="G38" s="28"/>
      <c r="H38" s="27"/>
      <c r="I38" s="28"/>
      <c r="J38" s="28"/>
      <c r="K38" s="28"/>
      <c r="L38" s="28"/>
      <c r="M38" s="28"/>
      <c r="N38" s="28"/>
      <c r="O38" s="28"/>
      <c r="P38" s="28"/>
      <c r="Q38" s="29"/>
      <c r="R38" s="28"/>
      <c r="S38" s="28"/>
      <c r="T38" s="28"/>
      <c r="U38" s="29"/>
      <c r="V38" s="28"/>
      <c r="W38" s="29"/>
      <c r="X38" s="28"/>
      <c r="Y38" s="30"/>
      <c r="Z38" s="30"/>
      <c r="AA38" s="31"/>
      <c r="AB38" s="31"/>
      <c r="AC38" s="31"/>
      <c r="AD38" s="31"/>
      <c r="AE38" s="29"/>
      <c r="AF38" s="28"/>
      <c r="AG38" s="27"/>
      <c r="AH38" s="27"/>
      <c r="AI38" s="27"/>
      <c r="AJ38" s="27"/>
      <c r="AK38" s="27"/>
      <c r="AL38" s="27"/>
      <c r="AM38" s="27"/>
      <c r="AN38" s="28"/>
      <c r="AO38" s="28"/>
      <c r="AP38" s="27"/>
      <c r="AQ38" s="27"/>
      <c r="AR38" s="27"/>
      <c r="AS38" s="27"/>
      <c r="AT38" s="27"/>
      <c r="AU38" s="27"/>
      <c r="AV38" s="27"/>
      <c r="AW38" s="27"/>
      <c r="AX38" s="28"/>
      <c r="AY38" s="27"/>
      <c r="AZ38" s="28"/>
      <c r="BA38" s="28"/>
      <c r="BB38" s="131"/>
    </row>
    <row r="39" spans="1:54" x14ac:dyDescent="0.3">
      <c r="A39" s="59"/>
      <c r="B39" s="60"/>
      <c r="C39" s="61"/>
      <c r="D39" s="33"/>
      <c r="E39" s="62"/>
      <c r="F39" s="33"/>
      <c r="G39" s="62"/>
      <c r="H39" s="33"/>
      <c r="I39" s="62"/>
      <c r="J39" s="117"/>
      <c r="K39" s="117"/>
      <c r="L39" s="117"/>
      <c r="M39" s="117"/>
      <c r="N39" s="117"/>
      <c r="O39" s="117"/>
      <c r="P39" s="117"/>
      <c r="Q39" s="33"/>
      <c r="R39" s="63"/>
      <c r="S39" s="117"/>
      <c r="T39" s="117"/>
      <c r="U39" s="33"/>
      <c r="V39" s="63"/>
      <c r="W39" s="33"/>
      <c r="X39" s="63"/>
      <c r="Y39" s="118"/>
      <c r="Z39" s="118"/>
      <c r="AA39" s="118"/>
      <c r="AB39" s="118"/>
      <c r="AC39" s="118"/>
      <c r="AD39" s="118"/>
      <c r="AE39" s="33"/>
      <c r="AF39" s="33"/>
      <c r="AG39" s="119"/>
      <c r="AH39" s="119"/>
      <c r="AI39" s="119"/>
      <c r="AJ39" s="33"/>
      <c r="AK39" s="64"/>
      <c r="AL39" s="33"/>
      <c r="AM39" s="64"/>
      <c r="AN39" s="34"/>
      <c r="AO39" s="65"/>
      <c r="AP39" s="119"/>
      <c r="AQ39" s="33"/>
      <c r="AR39" s="64"/>
      <c r="AS39" s="119"/>
      <c r="AT39" s="119"/>
      <c r="AU39" s="33"/>
      <c r="AV39" s="64"/>
      <c r="AW39" s="33"/>
      <c r="AX39" s="63"/>
      <c r="AY39" s="33"/>
      <c r="AZ39" s="63"/>
      <c r="BA39" s="34"/>
      <c r="BB39" s="65"/>
    </row>
    <row r="40" spans="1:54" s="67" customFormat="1" ht="14.25" customHeight="1" x14ac:dyDescent="0.3">
      <c r="A40" s="66">
        <v>206</v>
      </c>
      <c r="B40" s="68" t="s">
        <v>240</v>
      </c>
      <c r="C40" s="46">
        <v>6</v>
      </c>
      <c r="D40" s="42">
        <f t="shared" ref="D40" si="64">ROUND(E40*C40,1)</f>
        <v>451.6</v>
      </c>
      <c r="E40" s="123">
        <f>RCFs!C$43</f>
        <v>75.268515088574986</v>
      </c>
      <c r="F40" s="124">
        <f t="shared" ref="F40" si="65">ROUNDDOWN($C40*G40,1)</f>
        <v>111.3</v>
      </c>
      <c r="G40" s="123">
        <f>RCFs!C$5</f>
        <v>18.559999999999999</v>
      </c>
      <c r="H40" s="124">
        <f t="shared" ref="H40" si="66">ROUNDDOWN($C40*I40,1)</f>
        <v>111.3</v>
      </c>
      <c r="I40" s="123">
        <f>RCFs!C$5</f>
        <v>18.559999999999999</v>
      </c>
      <c r="J40" s="111">
        <f t="shared" ref="J40:P42" si="67">ROUND($C40*$I40*J$6,1)</f>
        <v>122.5</v>
      </c>
      <c r="K40" s="111">
        <f t="shared" si="67"/>
        <v>152.6</v>
      </c>
      <c r="L40" s="111">
        <f t="shared" si="67"/>
        <v>163.69999999999999</v>
      </c>
      <c r="M40" s="111">
        <f t="shared" si="67"/>
        <v>180.4</v>
      </c>
      <c r="N40" s="111">
        <f t="shared" si="67"/>
        <v>222.7</v>
      </c>
      <c r="O40" s="111">
        <f t="shared" si="67"/>
        <v>239.4</v>
      </c>
      <c r="P40" s="111">
        <f t="shared" si="67"/>
        <v>334.1</v>
      </c>
      <c r="Q40" s="42">
        <f t="shared" ref="Q40" si="68">ROUNDDOWN(R40*C40,1)</f>
        <v>115.8</v>
      </c>
      <c r="R40" s="125">
        <f>RCFs!C$7</f>
        <v>19.303333333333335</v>
      </c>
      <c r="S40" s="111">
        <f t="shared" ref="S40:T42" si="69">ROUNDDOWN($Q40*S$6,1)</f>
        <v>150.5</v>
      </c>
      <c r="T40" s="111">
        <f t="shared" si="69"/>
        <v>173.7</v>
      </c>
      <c r="U40" s="42">
        <f t="shared" ref="U40" si="70">ROUND(V40*C40,1)</f>
        <v>110.5</v>
      </c>
      <c r="V40" s="125">
        <f>RCFs!C$9</f>
        <v>18.422999999999998</v>
      </c>
      <c r="W40" s="42">
        <f t="shared" ref="W40" si="71">ROUND(X40*C40,1)</f>
        <v>110.5</v>
      </c>
      <c r="X40" s="125">
        <f t="shared" ref="X40:X47" si="72">V40</f>
        <v>18.422999999999998</v>
      </c>
      <c r="Y40" s="111">
        <f t="shared" ref="Y40:Y120" si="73">ROUNDDOWN($W40*Y$6,1)</f>
        <v>121.5</v>
      </c>
      <c r="Z40" s="111">
        <f t="shared" ref="Z40:AD42" si="74">ROUND($C40*$X40*Z$6,1)</f>
        <v>151.4</v>
      </c>
      <c r="AA40" s="111">
        <f t="shared" si="74"/>
        <v>179.1</v>
      </c>
      <c r="AB40" s="111">
        <f t="shared" si="74"/>
        <v>162.5</v>
      </c>
      <c r="AC40" s="111">
        <f t="shared" si="74"/>
        <v>239.9</v>
      </c>
      <c r="AD40" s="111">
        <f t="shared" si="74"/>
        <v>331.6</v>
      </c>
      <c r="AE40" s="42">
        <f t="shared" ref="AE40" si="75">ROUND(AF40*C40,1)</f>
        <v>114.8</v>
      </c>
      <c r="AF40" s="125">
        <f>RCFs!C$13</f>
        <v>19.133333333333333</v>
      </c>
      <c r="AG40" s="110">
        <f t="shared" ref="AG40:AI42" si="76">ROUND($AE40*AG$6,1)</f>
        <v>189.4</v>
      </c>
      <c r="AH40" s="110">
        <f t="shared" si="76"/>
        <v>241.1</v>
      </c>
      <c r="AI40" s="110">
        <f t="shared" si="76"/>
        <v>344.4</v>
      </c>
      <c r="AJ40" s="42">
        <f t="shared" ref="AJ40" si="77">ROUNDDOWN(C40*AK40,1)</f>
        <v>113.6</v>
      </c>
      <c r="AK40" s="125">
        <f>RCFs!C$25</f>
        <v>18.946666666666665</v>
      </c>
      <c r="AL40" s="42">
        <f t="shared" ref="AL40" si="78">ROUNDDOWN(C40*AM40,1)</f>
        <v>150.5</v>
      </c>
      <c r="AM40" s="125">
        <f>RCFs!C$29</f>
        <v>25.09333333333333</v>
      </c>
      <c r="AN40" s="42">
        <f t="shared" ref="AN40" si="79">ROUNDDOWN(C40*AO40,1)</f>
        <v>120.7</v>
      </c>
      <c r="AO40" s="125">
        <f>RCFs!C$33</f>
        <v>20.121274</v>
      </c>
      <c r="AP40" s="110">
        <f t="shared" ref="AP40" si="80">ROUNDDOWN(AN40*AP$6,1)</f>
        <v>181</v>
      </c>
      <c r="AQ40" s="124">
        <f t="shared" ref="AQ40" si="81">ROUNDDOWN($C40*AR40,1)</f>
        <v>157.1</v>
      </c>
      <c r="AR40" s="125">
        <f>RCFs!C$35</f>
        <v>26.19</v>
      </c>
      <c r="AS40" s="110">
        <f t="shared" ref="AS40" si="82">ROUNDDOWN(AQ40*AS$6,1)</f>
        <v>204.2</v>
      </c>
      <c r="AT40" s="110">
        <f t="shared" ref="AT40" si="83">ROUNDDOWN(AR40*AT$6,1)</f>
        <v>37.9</v>
      </c>
      <c r="AU40" s="124">
        <f t="shared" ref="AU40" si="84">ROUNDDOWN($C40*AV40,1)</f>
        <v>116.9</v>
      </c>
      <c r="AV40" s="124">
        <f>RCFs!C$37</f>
        <v>19.486666666666668</v>
      </c>
      <c r="AW40" s="124">
        <f>ROUNDDOWN(AX40*C40,1)</f>
        <v>118.9</v>
      </c>
      <c r="AX40" s="125">
        <f>RCFs!C$64</f>
        <v>19.826666666666664</v>
      </c>
      <c r="AY40" s="124">
        <f t="shared" ref="AY40" si="85">ROUNDDOWN($C40*AZ40,1)</f>
        <v>113.6</v>
      </c>
      <c r="AZ40" s="125">
        <f>RCFs!C$39</f>
        <v>18.946666666666665</v>
      </c>
      <c r="BA40" s="124">
        <f t="shared" ref="BA40" si="86">ROUNDDOWN($C40*BB40,1)</f>
        <v>114.4</v>
      </c>
      <c r="BB40" s="125">
        <f>RCFs!C$41</f>
        <v>19.068114999999999</v>
      </c>
    </row>
    <row r="41" spans="1:54" s="67" customFormat="1" ht="14.25" customHeight="1" x14ac:dyDescent="0.3">
      <c r="A41" s="66">
        <v>211</v>
      </c>
      <c r="B41" s="68" t="s">
        <v>241</v>
      </c>
      <c r="C41" s="46">
        <v>80</v>
      </c>
      <c r="D41" s="42">
        <f t="shared" ref="D41" si="87">ROUND(E41*C41,1)</f>
        <v>6021.5</v>
      </c>
      <c r="E41" s="123">
        <f>RCFs!C$43</f>
        <v>75.268515088574986</v>
      </c>
      <c r="F41" s="124">
        <f t="shared" ref="F41" si="88">ROUNDDOWN($C41*G41,1)</f>
        <v>1484.8</v>
      </c>
      <c r="G41" s="123">
        <f>RCFs!C$5</f>
        <v>18.559999999999999</v>
      </c>
      <c r="H41" s="124">
        <f t="shared" ref="H41" si="89">ROUNDDOWN($C41*I41,1)</f>
        <v>1484.8</v>
      </c>
      <c r="I41" s="123">
        <f>RCFs!C$5</f>
        <v>18.559999999999999</v>
      </c>
      <c r="J41" s="111">
        <f t="shared" si="67"/>
        <v>1633.3</v>
      </c>
      <c r="K41" s="111">
        <f t="shared" si="67"/>
        <v>2034.2</v>
      </c>
      <c r="L41" s="111">
        <f t="shared" si="67"/>
        <v>2182.6999999999998</v>
      </c>
      <c r="M41" s="111">
        <f t="shared" si="67"/>
        <v>2405.4</v>
      </c>
      <c r="N41" s="111">
        <f t="shared" si="67"/>
        <v>2969.6</v>
      </c>
      <c r="O41" s="111">
        <f t="shared" si="67"/>
        <v>3192.3</v>
      </c>
      <c r="P41" s="111">
        <f t="shared" si="67"/>
        <v>4454.3999999999996</v>
      </c>
      <c r="Q41" s="42">
        <f t="shared" ref="Q41" si="90">ROUNDDOWN(R41*C41,1)</f>
        <v>1544.2</v>
      </c>
      <c r="R41" s="125">
        <f>RCFs!C$7</f>
        <v>19.303333333333335</v>
      </c>
      <c r="S41" s="111">
        <f t="shared" si="69"/>
        <v>2007.4</v>
      </c>
      <c r="T41" s="111">
        <f t="shared" si="69"/>
        <v>2316.3000000000002</v>
      </c>
      <c r="U41" s="42">
        <f t="shared" ref="U41" si="91">ROUND(V41*C41,1)</f>
        <v>1473.8</v>
      </c>
      <c r="V41" s="125">
        <f>RCFs!C$9</f>
        <v>18.422999999999998</v>
      </c>
      <c r="W41" s="42">
        <f t="shared" ref="W41" si="92">ROUND(X41*C41,1)</f>
        <v>1473.8</v>
      </c>
      <c r="X41" s="125">
        <f t="shared" si="72"/>
        <v>18.422999999999998</v>
      </c>
      <c r="Y41" s="111">
        <f t="shared" si="73"/>
        <v>1621.1</v>
      </c>
      <c r="Z41" s="111">
        <f t="shared" si="74"/>
        <v>2019.2</v>
      </c>
      <c r="AA41" s="111">
        <f t="shared" si="74"/>
        <v>2387.6</v>
      </c>
      <c r="AB41" s="111">
        <f t="shared" si="74"/>
        <v>2166.5</v>
      </c>
      <c r="AC41" s="111">
        <f t="shared" si="74"/>
        <v>3198.2</v>
      </c>
      <c r="AD41" s="111">
        <f t="shared" si="74"/>
        <v>4421.5</v>
      </c>
      <c r="AE41" s="42">
        <f t="shared" ref="AE41" si="93">ROUND(AF41*C41,1)</f>
        <v>1530.7</v>
      </c>
      <c r="AF41" s="125">
        <f>RCFs!C$13</f>
        <v>19.133333333333333</v>
      </c>
      <c r="AG41" s="110">
        <f t="shared" si="76"/>
        <v>2525.6999999999998</v>
      </c>
      <c r="AH41" s="110">
        <f t="shared" si="76"/>
        <v>3214.5</v>
      </c>
      <c r="AI41" s="110">
        <f t="shared" si="76"/>
        <v>4592.1000000000004</v>
      </c>
      <c r="AJ41" s="42">
        <f t="shared" ref="AJ41" si="94">ROUNDDOWN(C41*AK41,1)</f>
        <v>1515.7</v>
      </c>
      <c r="AK41" s="125">
        <f>RCFs!C$25</f>
        <v>18.946666666666665</v>
      </c>
      <c r="AL41" s="42">
        <f t="shared" ref="AL41" si="95">ROUNDDOWN(C41*AM41,1)</f>
        <v>2007.4</v>
      </c>
      <c r="AM41" s="125">
        <f>RCFs!C$29</f>
        <v>25.09333333333333</v>
      </c>
      <c r="AN41" s="42">
        <f t="shared" ref="AN41" si="96">ROUNDDOWN(C41*AO41,1)</f>
        <v>1609.7</v>
      </c>
      <c r="AO41" s="125">
        <f>RCFs!C$33</f>
        <v>20.121274</v>
      </c>
      <c r="AP41" s="110">
        <f t="shared" ref="AP41" si="97">ROUNDDOWN(AN41*AP$6,1)</f>
        <v>2414.5</v>
      </c>
      <c r="AQ41" s="124">
        <f t="shared" ref="AQ41" si="98">ROUNDDOWN($C41*AR41,1)</f>
        <v>2095.1999999999998</v>
      </c>
      <c r="AR41" s="125">
        <f>RCFs!C$35</f>
        <v>26.19</v>
      </c>
      <c r="AS41" s="110">
        <f t="shared" ref="AS41" si="99">ROUNDDOWN(AQ41*AS$6,1)</f>
        <v>2723.7</v>
      </c>
      <c r="AT41" s="110">
        <f t="shared" ref="AT41" si="100">ROUNDDOWN(AR41*AT$6,1)</f>
        <v>37.9</v>
      </c>
      <c r="AU41" s="124">
        <f t="shared" ref="AU41" si="101">ROUNDDOWN($C41*AV41,1)</f>
        <v>1558.9</v>
      </c>
      <c r="AV41" s="124">
        <f>RCFs!C$37</f>
        <v>19.486666666666668</v>
      </c>
      <c r="AW41" s="124">
        <f>ROUNDDOWN(AX41*C41,1)</f>
        <v>1586.1</v>
      </c>
      <c r="AX41" s="125">
        <f>RCFs!C$64</f>
        <v>19.826666666666664</v>
      </c>
      <c r="AY41" s="124">
        <f t="shared" ref="AY41" si="102">ROUNDDOWN($C41*AZ41,1)</f>
        <v>1515.7</v>
      </c>
      <c r="AZ41" s="125">
        <f>RCFs!C$39</f>
        <v>18.946666666666665</v>
      </c>
      <c r="BA41" s="124">
        <f t="shared" ref="BA41" si="103">ROUNDDOWN($C41*BB41,1)</f>
        <v>1525.4</v>
      </c>
      <c r="BB41" s="125">
        <f>RCFs!C$41</f>
        <v>19.068114999999999</v>
      </c>
    </row>
    <row r="42" spans="1:54" s="67" customFormat="1" ht="14.25" customHeight="1" x14ac:dyDescent="0.3">
      <c r="A42" s="66" t="s">
        <v>37</v>
      </c>
      <c r="B42" s="68" t="s">
        <v>42</v>
      </c>
      <c r="C42" s="46">
        <v>30</v>
      </c>
      <c r="D42" s="42">
        <f t="shared" ref="D42" si="104">ROUND(E42*C42,1)</f>
        <v>2258.1</v>
      </c>
      <c r="E42" s="123">
        <f>RCFs!C$43</f>
        <v>75.268515088574986</v>
      </c>
      <c r="F42" s="124">
        <f t="shared" ref="F42:F120" si="105">ROUNDDOWN($C42*G42,1)</f>
        <v>556.79999999999995</v>
      </c>
      <c r="G42" s="123">
        <f>RCFs!C$5</f>
        <v>18.559999999999999</v>
      </c>
      <c r="H42" s="124">
        <f t="shared" ref="H42:H120" si="106">ROUNDDOWN($C42*I42,1)</f>
        <v>556.79999999999995</v>
      </c>
      <c r="I42" s="123">
        <f>RCFs!C$5</f>
        <v>18.559999999999999</v>
      </c>
      <c r="J42" s="111">
        <f t="shared" si="67"/>
        <v>612.5</v>
      </c>
      <c r="K42" s="111">
        <f t="shared" si="67"/>
        <v>762.8</v>
      </c>
      <c r="L42" s="111">
        <f t="shared" si="67"/>
        <v>818.5</v>
      </c>
      <c r="M42" s="111">
        <f t="shared" si="67"/>
        <v>902</v>
      </c>
      <c r="N42" s="111">
        <f t="shared" si="67"/>
        <v>1113.5999999999999</v>
      </c>
      <c r="O42" s="111">
        <f t="shared" si="67"/>
        <v>1197.0999999999999</v>
      </c>
      <c r="P42" s="111">
        <f t="shared" si="67"/>
        <v>1670.4</v>
      </c>
      <c r="Q42" s="42">
        <f t="shared" ref="Q42:Q120" si="107">ROUNDDOWN(R42*C42,1)</f>
        <v>579.1</v>
      </c>
      <c r="R42" s="125">
        <f>RCFs!C$7</f>
        <v>19.303333333333335</v>
      </c>
      <c r="S42" s="111">
        <f t="shared" si="69"/>
        <v>752.8</v>
      </c>
      <c r="T42" s="111">
        <f t="shared" si="69"/>
        <v>868.6</v>
      </c>
      <c r="U42" s="42">
        <f t="shared" ref="U42:U120" si="108">ROUND(V42*C42,1)</f>
        <v>552.70000000000005</v>
      </c>
      <c r="V42" s="125">
        <f>RCFs!C$9</f>
        <v>18.422999999999998</v>
      </c>
      <c r="W42" s="42">
        <f t="shared" ref="W42" si="109">ROUND(X42*C42,1)</f>
        <v>552.70000000000005</v>
      </c>
      <c r="X42" s="125">
        <f t="shared" si="72"/>
        <v>18.422999999999998</v>
      </c>
      <c r="Y42" s="111">
        <f t="shared" si="73"/>
        <v>607.9</v>
      </c>
      <c r="Z42" s="111">
        <f t="shared" si="74"/>
        <v>757.2</v>
      </c>
      <c r="AA42" s="111">
        <f t="shared" si="74"/>
        <v>895.4</v>
      </c>
      <c r="AB42" s="111">
        <f t="shared" si="74"/>
        <v>812.5</v>
      </c>
      <c r="AC42" s="111">
        <f t="shared" si="74"/>
        <v>1199.3</v>
      </c>
      <c r="AD42" s="111">
        <f t="shared" si="74"/>
        <v>1658.1</v>
      </c>
      <c r="AE42" s="42">
        <f t="shared" ref="AE42" si="110">ROUND(AF42*C42,1)</f>
        <v>574</v>
      </c>
      <c r="AF42" s="125">
        <f>RCFs!C$13</f>
        <v>19.133333333333333</v>
      </c>
      <c r="AG42" s="110">
        <f t="shared" si="76"/>
        <v>947.1</v>
      </c>
      <c r="AH42" s="110">
        <f t="shared" si="76"/>
        <v>1205.4000000000001</v>
      </c>
      <c r="AI42" s="110">
        <f t="shared" si="76"/>
        <v>1722</v>
      </c>
      <c r="AJ42" s="42">
        <f t="shared" ref="AJ42:AJ120" si="111">ROUNDDOWN(C42*AK42,1)</f>
        <v>568.4</v>
      </c>
      <c r="AK42" s="125">
        <f>RCFs!C$25</f>
        <v>18.946666666666665</v>
      </c>
      <c r="AL42" s="42">
        <f t="shared" ref="AL42:AL102" si="112">ROUNDDOWN(C42*AM42,1)</f>
        <v>752.8</v>
      </c>
      <c r="AM42" s="125">
        <f>RCFs!C$29</f>
        <v>25.09333333333333</v>
      </c>
      <c r="AN42" s="42">
        <f t="shared" ref="AN42:AN120" si="113">ROUNDDOWN(C42*AO42,1)</f>
        <v>603.6</v>
      </c>
      <c r="AO42" s="125">
        <f>RCFs!C$33</f>
        <v>20.121274</v>
      </c>
      <c r="AP42" s="110">
        <f t="shared" ref="AP42:AP120" si="114">ROUNDDOWN(AN42*AP$6,1)</f>
        <v>905.4</v>
      </c>
      <c r="AQ42" s="124">
        <f t="shared" ref="AQ42:AQ120" si="115">ROUNDDOWN($C42*AR42,1)</f>
        <v>785.7</v>
      </c>
      <c r="AR42" s="125">
        <f>RCFs!C$35</f>
        <v>26.19</v>
      </c>
      <c r="AS42" s="110">
        <f t="shared" ref="AS42:AS120" si="116">ROUNDDOWN(AQ42*AS$6,1)</f>
        <v>1021.4</v>
      </c>
      <c r="AT42" s="110">
        <f t="shared" ref="AT42:AT120" si="117">ROUNDDOWN(AR42*AT$6,1)</f>
        <v>37.9</v>
      </c>
      <c r="AU42" s="124">
        <f t="shared" ref="AU42:AU120" si="118">ROUNDDOWN($C42*AV42,1)</f>
        <v>584.6</v>
      </c>
      <c r="AV42" s="124">
        <f>RCFs!C$37</f>
        <v>19.486666666666668</v>
      </c>
      <c r="AW42" s="124">
        <f>ROUNDDOWN(AX42*C42,1)</f>
        <v>594.79999999999995</v>
      </c>
      <c r="AX42" s="125">
        <f>RCFs!C$64</f>
        <v>19.826666666666664</v>
      </c>
      <c r="AY42" s="124">
        <f t="shared" ref="AY42:AY120" si="119">ROUNDDOWN($C42*AZ42,1)</f>
        <v>568.4</v>
      </c>
      <c r="AZ42" s="125">
        <f>RCFs!C$39</f>
        <v>18.946666666666665</v>
      </c>
      <c r="BA42" s="124">
        <f t="shared" ref="BA42:BA120" si="120">ROUNDDOWN($C42*BB42,1)</f>
        <v>572</v>
      </c>
      <c r="BB42" s="125">
        <f>RCFs!C$41</f>
        <v>19.068114999999999</v>
      </c>
    </row>
    <row r="43" spans="1:54" s="67" customFormat="1" x14ac:dyDescent="0.3">
      <c r="A43" s="66" t="s">
        <v>35</v>
      </c>
      <c r="B43" s="68" t="s">
        <v>56</v>
      </c>
      <c r="C43" s="46">
        <v>50</v>
      </c>
      <c r="D43" s="42">
        <f t="shared" ref="D43:D120" si="121">ROUND(E43*C43,1)</f>
        <v>3763.4</v>
      </c>
      <c r="E43" s="123">
        <f>RCFs!C$43</f>
        <v>75.268515088574986</v>
      </c>
      <c r="F43" s="124">
        <f t="shared" si="105"/>
        <v>928</v>
      </c>
      <c r="G43" s="123">
        <f>RCFs!C$5</f>
        <v>18.559999999999999</v>
      </c>
      <c r="H43" s="124">
        <f t="shared" si="106"/>
        <v>928</v>
      </c>
      <c r="I43" s="123">
        <f>RCFs!C$5</f>
        <v>18.559999999999999</v>
      </c>
      <c r="J43" s="111">
        <f t="shared" ref="J43:P53" si="122">ROUND($C43*$I43*J$6,1)</f>
        <v>1020.8</v>
      </c>
      <c r="K43" s="111">
        <f t="shared" si="122"/>
        <v>1271.4000000000001</v>
      </c>
      <c r="L43" s="111">
        <f t="shared" si="122"/>
        <v>1364.2</v>
      </c>
      <c r="M43" s="111">
        <f t="shared" si="122"/>
        <v>1503.4</v>
      </c>
      <c r="N43" s="111">
        <f t="shared" si="122"/>
        <v>1856</v>
      </c>
      <c r="O43" s="111">
        <f t="shared" si="122"/>
        <v>1995.2</v>
      </c>
      <c r="P43" s="111">
        <f t="shared" si="122"/>
        <v>2784</v>
      </c>
      <c r="Q43" s="42">
        <f t="shared" si="107"/>
        <v>965.1</v>
      </c>
      <c r="R43" s="125">
        <f>RCFs!C$7</f>
        <v>19.303333333333335</v>
      </c>
      <c r="S43" s="111">
        <f t="shared" ref="S43:T69" si="123">ROUNDDOWN($Q43*S$6,1)</f>
        <v>1254.5999999999999</v>
      </c>
      <c r="T43" s="111">
        <f t="shared" si="123"/>
        <v>1447.6</v>
      </c>
      <c r="U43" s="42">
        <f t="shared" si="108"/>
        <v>921.2</v>
      </c>
      <c r="V43" s="125">
        <f>RCFs!C$9</f>
        <v>18.422999999999998</v>
      </c>
      <c r="W43" s="42">
        <f t="shared" ref="W43:W120" si="124">ROUND(X43*C43,1)</f>
        <v>921.2</v>
      </c>
      <c r="X43" s="125">
        <f t="shared" si="72"/>
        <v>18.422999999999998</v>
      </c>
      <c r="Y43" s="111">
        <f t="shared" si="73"/>
        <v>1013.3</v>
      </c>
      <c r="Z43" s="111">
        <f t="shared" ref="Z43:AD53" si="125">ROUND($C43*$X43*Z$6,1)</f>
        <v>1262</v>
      </c>
      <c r="AA43" s="111">
        <f t="shared" si="125"/>
        <v>1492.3</v>
      </c>
      <c r="AB43" s="111">
        <f t="shared" si="125"/>
        <v>1354.1</v>
      </c>
      <c r="AC43" s="111">
        <f t="shared" si="125"/>
        <v>1998.9</v>
      </c>
      <c r="AD43" s="111">
        <f t="shared" si="125"/>
        <v>2763.5</v>
      </c>
      <c r="AE43" s="42">
        <f t="shared" ref="AE43:AE120" si="126">ROUND(AF43*C43,1)</f>
        <v>956.7</v>
      </c>
      <c r="AF43" s="125">
        <f>RCFs!C$13</f>
        <v>19.133333333333333</v>
      </c>
      <c r="AG43" s="110">
        <f t="shared" ref="AG43:AI69" si="127">ROUND($AE43*AG$6,1)</f>
        <v>1578.6</v>
      </c>
      <c r="AH43" s="110">
        <f t="shared" si="127"/>
        <v>2009.1</v>
      </c>
      <c r="AI43" s="110">
        <f t="shared" si="127"/>
        <v>2870.1</v>
      </c>
      <c r="AJ43" s="42">
        <f t="shared" si="111"/>
        <v>947.3</v>
      </c>
      <c r="AK43" s="125">
        <f>RCFs!C$25</f>
        <v>18.946666666666665</v>
      </c>
      <c r="AL43" s="42">
        <f t="shared" si="112"/>
        <v>1254.5999999999999</v>
      </c>
      <c r="AM43" s="125">
        <f>RCFs!C$29</f>
        <v>25.09333333333333</v>
      </c>
      <c r="AN43" s="42">
        <f t="shared" si="113"/>
        <v>1006</v>
      </c>
      <c r="AO43" s="125">
        <f>RCFs!C$33</f>
        <v>20.121274</v>
      </c>
      <c r="AP43" s="110">
        <f t="shared" si="114"/>
        <v>1509</v>
      </c>
      <c r="AQ43" s="124">
        <f t="shared" si="115"/>
        <v>1309.5</v>
      </c>
      <c r="AR43" s="125">
        <f>RCFs!C$35</f>
        <v>26.19</v>
      </c>
      <c r="AS43" s="110">
        <f t="shared" si="116"/>
        <v>1702.3</v>
      </c>
      <c r="AT43" s="110">
        <f t="shared" si="117"/>
        <v>37.9</v>
      </c>
      <c r="AU43" s="124">
        <f t="shared" si="118"/>
        <v>974.3</v>
      </c>
      <c r="AV43" s="124">
        <f>RCFs!C$37</f>
        <v>19.486666666666668</v>
      </c>
      <c r="AW43" s="124">
        <f t="shared" ref="AW43:AW120" si="128">ROUNDDOWN(AX43*C43,1)</f>
        <v>991.3</v>
      </c>
      <c r="AX43" s="125">
        <f>RCFs!C$64</f>
        <v>19.826666666666664</v>
      </c>
      <c r="AY43" s="124">
        <f t="shared" si="119"/>
        <v>947.3</v>
      </c>
      <c r="AZ43" s="125">
        <f>RCFs!C$39</f>
        <v>18.946666666666665</v>
      </c>
      <c r="BA43" s="124">
        <f t="shared" si="120"/>
        <v>953.4</v>
      </c>
      <c r="BB43" s="125">
        <f>RCFs!C$41</f>
        <v>19.068114999999999</v>
      </c>
    </row>
    <row r="44" spans="1:54" s="67" customFormat="1" ht="27.6" x14ac:dyDescent="0.3">
      <c r="A44" s="66">
        <v>1193</v>
      </c>
      <c r="B44" s="68" t="s">
        <v>179</v>
      </c>
      <c r="C44" s="46">
        <v>37.76</v>
      </c>
      <c r="D44" s="42">
        <f t="shared" si="121"/>
        <v>2842.1</v>
      </c>
      <c r="E44" s="123">
        <f>RCFs!C$43</f>
        <v>75.268515088574986</v>
      </c>
      <c r="F44" s="124">
        <f t="shared" si="105"/>
        <v>700.8</v>
      </c>
      <c r="G44" s="123">
        <f>RCFs!C$5</f>
        <v>18.559999999999999</v>
      </c>
      <c r="H44" s="124">
        <f t="shared" si="106"/>
        <v>700.8</v>
      </c>
      <c r="I44" s="123">
        <f>RCFs!C$5</f>
        <v>18.559999999999999</v>
      </c>
      <c r="J44" s="111">
        <f t="shared" si="122"/>
        <v>770.9</v>
      </c>
      <c r="K44" s="111">
        <f t="shared" si="122"/>
        <v>960.1</v>
      </c>
      <c r="L44" s="111">
        <f t="shared" si="122"/>
        <v>1030.2</v>
      </c>
      <c r="M44" s="111">
        <f t="shared" si="122"/>
        <v>1135.3</v>
      </c>
      <c r="N44" s="111">
        <f t="shared" si="122"/>
        <v>1401.7</v>
      </c>
      <c r="O44" s="111">
        <f t="shared" si="122"/>
        <v>1506.8</v>
      </c>
      <c r="P44" s="111">
        <f t="shared" si="122"/>
        <v>2102.5</v>
      </c>
      <c r="Q44" s="42">
        <f t="shared" si="107"/>
        <v>728.8</v>
      </c>
      <c r="R44" s="125">
        <f>RCFs!C$7</f>
        <v>19.303333333333335</v>
      </c>
      <c r="S44" s="111">
        <f t="shared" si="123"/>
        <v>947.4</v>
      </c>
      <c r="T44" s="111">
        <f t="shared" si="123"/>
        <v>1093.2</v>
      </c>
      <c r="U44" s="42">
        <f t="shared" si="108"/>
        <v>695.7</v>
      </c>
      <c r="V44" s="125">
        <f>RCFs!C$9</f>
        <v>18.422999999999998</v>
      </c>
      <c r="W44" s="42">
        <f t="shared" si="124"/>
        <v>695.7</v>
      </c>
      <c r="X44" s="125">
        <f t="shared" si="72"/>
        <v>18.422999999999998</v>
      </c>
      <c r="Y44" s="111">
        <f t="shared" si="73"/>
        <v>765.2</v>
      </c>
      <c r="Z44" s="111">
        <f t="shared" si="125"/>
        <v>953</v>
      </c>
      <c r="AA44" s="111">
        <f t="shared" si="125"/>
        <v>1127</v>
      </c>
      <c r="AB44" s="111">
        <f t="shared" si="125"/>
        <v>1022.6</v>
      </c>
      <c r="AC44" s="111">
        <f t="shared" si="125"/>
        <v>1509.6</v>
      </c>
      <c r="AD44" s="111">
        <f t="shared" si="125"/>
        <v>2087</v>
      </c>
      <c r="AE44" s="42">
        <f t="shared" si="126"/>
        <v>722.5</v>
      </c>
      <c r="AF44" s="125">
        <f>RCFs!C$13</f>
        <v>19.133333333333333</v>
      </c>
      <c r="AG44" s="110">
        <f t="shared" si="127"/>
        <v>1192.0999999999999</v>
      </c>
      <c r="AH44" s="110">
        <f t="shared" si="127"/>
        <v>1517.3</v>
      </c>
      <c r="AI44" s="110">
        <f t="shared" si="127"/>
        <v>2167.5</v>
      </c>
      <c r="AJ44" s="42">
        <f t="shared" si="111"/>
        <v>715.4</v>
      </c>
      <c r="AK44" s="125">
        <f>RCFs!C$25</f>
        <v>18.946666666666665</v>
      </c>
      <c r="AL44" s="42">
        <f t="shared" si="112"/>
        <v>947.5</v>
      </c>
      <c r="AM44" s="125">
        <f>RCFs!C$29</f>
        <v>25.09333333333333</v>
      </c>
      <c r="AN44" s="42">
        <f t="shared" si="113"/>
        <v>759.7</v>
      </c>
      <c r="AO44" s="125">
        <f>RCFs!C$33</f>
        <v>20.121274</v>
      </c>
      <c r="AP44" s="110">
        <f t="shared" si="114"/>
        <v>1139.5</v>
      </c>
      <c r="AQ44" s="124">
        <f t="shared" si="115"/>
        <v>988.9</v>
      </c>
      <c r="AR44" s="125">
        <f>RCFs!C$35</f>
        <v>26.19</v>
      </c>
      <c r="AS44" s="110">
        <f t="shared" si="116"/>
        <v>1285.5</v>
      </c>
      <c r="AT44" s="110">
        <f t="shared" si="117"/>
        <v>37.9</v>
      </c>
      <c r="AU44" s="124">
        <f t="shared" si="118"/>
        <v>735.8</v>
      </c>
      <c r="AV44" s="124">
        <f>RCFs!C$37</f>
        <v>19.486666666666668</v>
      </c>
      <c r="AW44" s="124">
        <f t="shared" si="128"/>
        <v>748.6</v>
      </c>
      <c r="AX44" s="125">
        <f>RCFs!C$64</f>
        <v>19.826666666666664</v>
      </c>
      <c r="AY44" s="124">
        <f t="shared" si="119"/>
        <v>715.4</v>
      </c>
      <c r="AZ44" s="125">
        <f>RCFs!C$39</f>
        <v>18.946666666666665</v>
      </c>
      <c r="BA44" s="124">
        <f t="shared" si="120"/>
        <v>720</v>
      </c>
      <c r="BB44" s="125">
        <f>RCFs!C$41</f>
        <v>19.068114999999999</v>
      </c>
    </row>
    <row r="45" spans="1:54" s="67" customFormat="1" x14ac:dyDescent="0.3">
      <c r="A45" s="66">
        <v>1195</v>
      </c>
      <c r="B45" s="68" t="s">
        <v>242</v>
      </c>
      <c r="C45" s="46">
        <v>37.93</v>
      </c>
      <c r="D45" s="42">
        <f t="shared" ref="D45" si="129">ROUND(E45*C45,1)</f>
        <v>2854.9</v>
      </c>
      <c r="E45" s="123">
        <f>RCFs!C$43</f>
        <v>75.268515088574986</v>
      </c>
      <c r="F45" s="124">
        <f t="shared" ref="F45" si="130">ROUNDDOWN($C45*G45,1)</f>
        <v>703.9</v>
      </c>
      <c r="G45" s="123">
        <f>RCFs!C$5</f>
        <v>18.559999999999999</v>
      </c>
      <c r="H45" s="124">
        <f t="shared" ref="H45" si="131">ROUNDDOWN($C45*I45,1)</f>
        <v>703.9</v>
      </c>
      <c r="I45" s="123">
        <f>RCFs!C$5</f>
        <v>18.559999999999999</v>
      </c>
      <c r="J45" s="111">
        <f t="shared" si="122"/>
        <v>774.4</v>
      </c>
      <c r="K45" s="111">
        <f t="shared" si="122"/>
        <v>964.5</v>
      </c>
      <c r="L45" s="111">
        <f t="shared" si="122"/>
        <v>1034.9000000000001</v>
      </c>
      <c r="M45" s="111">
        <f t="shared" si="122"/>
        <v>1140.4000000000001</v>
      </c>
      <c r="N45" s="111">
        <f t="shared" si="122"/>
        <v>1408</v>
      </c>
      <c r="O45" s="111">
        <f t="shared" si="122"/>
        <v>1513.6</v>
      </c>
      <c r="P45" s="111">
        <f t="shared" si="122"/>
        <v>2111.9</v>
      </c>
      <c r="Q45" s="42">
        <f t="shared" ref="Q45" si="132">ROUNDDOWN(R45*C45,1)</f>
        <v>732.1</v>
      </c>
      <c r="R45" s="125">
        <f>RCFs!C$7</f>
        <v>19.303333333333335</v>
      </c>
      <c r="S45" s="111">
        <f t="shared" si="123"/>
        <v>951.7</v>
      </c>
      <c r="T45" s="111">
        <f t="shared" si="123"/>
        <v>1098.0999999999999</v>
      </c>
      <c r="U45" s="42">
        <f t="shared" ref="U45" si="133">ROUND(V45*C45,1)</f>
        <v>698.8</v>
      </c>
      <c r="V45" s="125">
        <f>RCFs!C$9</f>
        <v>18.422999999999998</v>
      </c>
      <c r="W45" s="42">
        <f t="shared" ref="W45" si="134">ROUND(X45*C45,1)</f>
        <v>698.8</v>
      </c>
      <c r="X45" s="125">
        <f t="shared" si="72"/>
        <v>18.422999999999998</v>
      </c>
      <c r="Y45" s="111">
        <f t="shared" si="73"/>
        <v>768.6</v>
      </c>
      <c r="Z45" s="111">
        <f t="shared" si="125"/>
        <v>957.3</v>
      </c>
      <c r="AA45" s="111">
        <f t="shared" si="125"/>
        <v>1132</v>
      </c>
      <c r="AB45" s="111">
        <f t="shared" si="125"/>
        <v>1027.2</v>
      </c>
      <c r="AC45" s="111">
        <f t="shared" si="125"/>
        <v>1516.4</v>
      </c>
      <c r="AD45" s="111">
        <f t="shared" si="125"/>
        <v>2096.4</v>
      </c>
      <c r="AE45" s="42">
        <f t="shared" ref="AE45" si="135">ROUND(AF45*C45,1)</f>
        <v>725.7</v>
      </c>
      <c r="AF45" s="125">
        <f>RCFs!C$13</f>
        <v>19.133333333333333</v>
      </c>
      <c r="AG45" s="110">
        <f t="shared" si="127"/>
        <v>1197.4000000000001</v>
      </c>
      <c r="AH45" s="110">
        <f t="shared" si="127"/>
        <v>1524</v>
      </c>
      <c r="AI45" s="110">
        <f t="shared" si="127"/>
        <v>2177.1</v>
      </c>
      <c r="AJ45" s="42">
        <f t="shared" ref="AJ45" si="136">ROUNDDOWN(C45*AK45,1)</f>
        <v>718.6</v>
      </c>
      <c r="AK45" s="125">
        <f>RCFs!C$25</f>
        <v>18.946666666666665</v>
      </c>
      <c r="AL45" s="42">
        <f t="shared" ref="AL45" si="137">ROUNDDOWN(C45*AM45,1)</f>
        <v>951.7</v>
      </c>
      <c r="AM45" s="125">
        <f>RCFs!C$29</f>
        <v>25.09333333333333</v>
      </c>
      <c r="AN45" s="42">
        <f t="shared" ref="AN45" si="138">ROUNDDOWN(C45*AO45,1)</f>
        <v>763.1</v>
      </c>
      <c r="AO45" s="125">
        <f>RCFs!C$33</f>
        <v>20.121274</v>
      </c>
      <c r="AP45" s="110">
        <f t="shared" ref="AP45" si="139">ROUNDDOWN(AN45*AP$6,1)</f>
        <v>1144.5999999999999</v>
      </c>
      <c r="AQ45" s="124">
        <f t="shared" ref="AQ45" si="140">ROUNDDOWN($C45*AR45,1)</f>
        <v>993.3</v>
      </c>
      <c r="AR45" s="125">
        <f>RCFs!C$35</f>
        <v>26.19</v>
      </c>
      <c r="AS45" s="110">
        <f t="shared" ref="AS45" si="141">ROUNDDOWN(AQ45*AS$6,1)</f>
        <v>1291.2</v>
      </c>
      <c r="AT45" s="110">
        <f t="shared" ref="AT45" si="142">ROUNDDOWN(AR45*AT$6,1)</f>
        <v>37.9</v>
      </c>
      <c r="AU45" s="124">
        <f t="shared" ref="AU45" si="143">ROUNDDOWN($C45*AV45,1)</f>
        <v>739.1</v>
      </c>
      <c r="AV45" s="124">
        <f>RCFs!C$37</f>
        <v>19.486666666666668</v>
      </c>
      <c r="AW45" s="124">
        <f t="shared" ref="AW45" si="144">ROUNDDOWN(AX45*C45,1)</f>
        <v>752</v>
      </c>
      <c r="AX45" s="125">
        <f>RCFs!C$64</f>
        <v>19.826666666666664</v>
      </c>
      <c r="AY45" s="124">
        <f t="shared" ref="AY45" si="145">ROUNDDOWN($C45*AZ45,1)</f>
        <v>718.6</v>
      </c>
      <c r="AZ45" s="125">
        <f>RCFs!C$39</f>
        <v>18.946666666666665</v>
      </c>
      <c r="BA45" s="124">
        <f t="shared" ref="BA45" si="146">ROUNDDOWN($C45*BB45,1)</f>
        <v>723.2</v>
      </c>
      <c r="BB45" s="125">
        <f>RCFs!C$41</f>
        <v>19.068114999999999</v>
      </c>
    </row>
    <row r="46" spans="1:54" s="67" customFormat="1" ht="27.6" x14ac:dyDescent="0.3">
      <c r="A46" s="66">
        <v>1196</v>
      </c>
      <c r="B46" s="68" t="s">
        <v>180</v>
      </c>
      <c r="C46" s="46">
        <v>45.31</v>
      </c>
      <c r="D46" s="42">
        <f t="shared" si="121"/>
        <v>3410.4</v>
      </c>
      <c r="E46" s="123">
        <f>RCFs!C$43</f>
        <v>75.268515088574986</v>
      </c>
      <c r="F46" s="124">
        <f t="shared" si="105"/>
        <v>840.9</v>
      </c>
      <c r="G46" s="123">
        <f>RCFs!C$5</f>
        <v>18.559999999999999</v>
      </c>
      <c r="H46" s="124">
        <f t="shared" si="106"/>
        <v>840.9</v>
      </c>
      <c r="I46" s="123">
        <f>RCFs!C$5</f>
        <v>18.559999999999999</v>
      </c>
      <c r="J46" s="111">
        <f t="shared" si="122"/>
        <v>925</v>
      </c>
      <c r="K46" s="111">
        <f t="shared" si="122"/>
        <v>1152.0999999999999</v>
      </c>
      <c r="L46" s="111">
        <f t="shared" si="122"/>
        <v>1236.2</v>
      </c>
      <c r="M46" s="111">
        <f t="shared" si="122"/>
        <v>1362.3</v>
      </c>
      <c r="N46" s="111">
        <f t="shared" si="122"/>
        <v>1681.9</v>
      </c>
      <c r="O46" s="111">
        <f t="shared" si="122"/>
        <v>1808.1</v>
      </c>
      <c r="P46" s="111">
        <f t="shared" si="122"/>
        <v>2522.9</v>
      </c>
      <c r="Q46" s="42">
        <f t="shared" si="107"/>
        <v>874.6</v>
      </c>
      <c r="R46" s="125">
        <f>RCFs!C$7</f>
        <v>19.303333333333335</v>
      </c>
      <c r="S46" s="111">
        <f t="shared" si="123"/>
        <v>1136.9000000000001</v>
      </c>
      <c r="T46" s="111">
        <f t="shared" si="123"/>
        <v>1311.9</v>
      </c>
      <c r="U46" s="42">
        <f t="shared" si="108"/>
        <v>834.7</v>
      </c>
      <c r="V46" s="125">
        <f>RCFs!C$9</f>
        <v>18.422999999999998</v>
      </c>
      <c r="W46" s="42">
        <f t="shared" si="124"/>
        <v>834.7</v>
      </c>
      <c r="X46" s="125">
        <f t="shared" si="72"/>
        <v>18.422999999999998</v>
      </c>
      <c r="Y46" s="111">
        <f t="shared" si="73"/>
        <v>918.1</v>
      </c>
      <c r="Z46" s="111">
        <f t="shared" si="125"/>
        <v>1143.5999999999999</v>
      </c>
      <c r="AA46" s="111">
        <f t="shared" si="125"/>
        <v>1352.3</v>
      </c>
      <c r="AB46" s="111">
        <f t="shared" si="125"/>
        <v>1227.0999999999999</v>
      </c>
      <c r="AC46" s="111">
        <f t="shared" si="125"/>
        <v>1811.4</v>
      </c>
      <c r="AD46" s="111">
        <f t="shared" si="125"/>
        <v>2504.1999999999998</v>
      </c>
      <c r="AE46" s="42">
        <f t="shared" si="126"/>
        <v>866.9</v>
      </c>
      <c r="AF46" s="125">
        <f>RCFs!C$13</f>
        <v>19.133333333333333</v>
      </c>
      <c r="AG46" s="110">
        <f t="shared" si="127"/>
        <v>1430.4</v>
      </c>
      <c r="AH46" s="110">
        <f t="shared" si="127"/>
        <v>1820.5</v>
      </c>
      <c r="AI46" s="110">
        <f t="shared" si="127"/>
        <v>2600.6999999999998</v>
      </c>
      <c r="AJ46" s="42">
        <f t="shared" si="111"/>
        <v>858.4</v>
      </c>
      <c r="AK46" s="125">
        <f>RCFs!C$25</f>
        <v>18.946666666666665</v>
      </c>
      <c r="AL46" s="42">
        <f t="shared" si="112"/>
        <v>1136.9000000000001</v>
      </c>
      <c r="AM46" s="125">
        <f>RCFs!C$29</f>
        <v>25.09333333333333</v>
      </c>
      <c r="AN46" s="42">
        <f t="shared" si="113"/>
        <v>911.6</v>
      </c>
      <c r="AO46" s="125">
        <f>RCFs!C$33</f>
        <v>20.121274</v>
      </c>
      <c r="AP46" s="110">
        <f t="shared" si="114"/>
        <v>1367.4</v>
      </c>
      <c r="AQ46" s="124">
        <f t="shared" si="115"/>
        <v>1186.5999999999999</v>
      </c>
      <c r="AR46" s="125">
        <f>RCFs!C$35</f>
        <v>26.19</v>
      </c>
      <c r="AS46" s="110">
        <f t="shared" si="116"/>
        <v>1542.5</v>
      </c>
      <c r="AT46" s="110">
        <f t="shared" si="117"/>
        <v>37.9</v>
      </c>
      <c r="AU46" s="124">
        <f t="shared" si="118"/>
        <v>882.9</v>
      </c>
      <c r="AV46" s="124">
        <f>RCFs!C$37</f>
        <v>19.486666666666668</v>
      </c>
      <c r="AW46" s="124">
        <f t="shared" si="128"/>
        <v>898.3</v>
      </c>
      <c r="AX46" s="125">
        <f>RCFs!C$64</f>
        <v>19.826666666666664</v>
      </c>
      <c r="AY46" s="124">
        <f t="shared" si="119"/>
        <v>858.4</v>
      </c>
      <c r="AZ46" s="125">
        <f>RCFs!C$39</f>
        <v>18.946666666666665</v>
      </c>
      <c r="BA46" s="124">
        <f t="shared" si="120"/>
        <v>863.9</v>
      </c>
      <c r="BB46" s="125">
        <f>RCFs!C$41</f>
        <v>19.068114999999999</v>
      </c>
    </row>
    <row r="47" spans="1:54" s="67" customFormat="1" x14ac:dyDescent="0.3">
      <c r="A47" s="66">
        <v>1200</v>
      </c>
      <c r="B47" s="68" t="s">
        <v>181</v>
      </c>
      <c r="C47" s="46">
        <v>38.06</v>
      </c>
      <c r="D47" s="42">
        <f t="shared" si="121"/>
        <v>2864.7</v>
      </c>
      <c r="E47" s="123">
        <f>RCFs!C$43</f>
        <v>75.268515088574986</v>
      </c>
      <c r="F47" s="124">
        <f t="shared" si="105"/>
        <v>706.3</v>
      </c>
      <c r="G47" s="123">
        <f>RCFs!C$5</f>
        <v>18.559999999999999</v>
      </c>
      <c r="H47" s="124">
        <f t="shared" si="106"/>
        <v>706.3</v>
      </c>
      <c r="I47" s="123">
        <f>RCFs!C$5</f>
        <v>18.559999999999999</v>
      </c>
      <c r="J47" s="111">
        <f t="shared" si="122"/>
        <v>777</v>
      </c>
      <c r="K47" s="111">
        <f t="shared" si="122"/>
        <v>967.8</v>
      </c>
      <c r="L47" s="111">
        <f t="shared" si="122"/>
        <v>1038.4000000000001</v>
      </c>
      <c r="M47" s="111">
        <f t="shared" si="122"/>
        <v>1144.4000000000001</v>
      </c>
      <c r="N47" s="111">
        <f t="shared" si="122"/>
        <v>1412.8</v>
      </c>
      <c r="O47" s="111">
        <f t="shared" si="122"/>
        <v>1518.7</v>
      </c>
      <c r="P47" s="111">
        <f t="shared" si="122"/>
        <v>2119.1999999999998</v>
      </c>
      <c r="Q47" s="42">
        <f t="shared" si="107"/>
        <v>734.6</v>
      </c>
      <c r="R47" s="125">
        <f>RCFs!C$7</f>
        <v>19.303333333333335</v>
      </c>
      <c r="S47" s="111">
        <f t="shared" si="123"/>
        <v>954.9</v>
      </c>
      <c r="T47" s="111">
        <f t="shared" si="123"/>
        <v>1101.9000000000001</v>
      </c>
      <c r="U47" s="42">
        <f t="shared" si="108"/>
        <v>701.2</v>
      </c>
      <c r="V47" s="125">
        <f>RCFs!C$9</f>
        <v>18.422999999999998</v>
      </c>
      <c r="W47" s="42">
        <f t="shared" si="124"/>
        <v>701.2</v>
      </c>
      <c r="X47" s="125">
        <f t="shared" si="72"/>
        <v>18.422999999999998</v>
      </c>
      <c r="Y47" s="111">
        <f t="shared" si="73"/>
        <v>771.3</v>
      </c>
      <c r="Z47" s="111">
        <f t="shared" si="125"/>
        <v>960.6</v>
      </c>
      <c r="AA47" s="111">
        <f t="shared" si="125"/>
        <v>1135.9000000000001</v>
      </c>
      <c r="AB47" s="111">
        <f t="shared" si="125"/>
        <v>1030.7</v>
      </c>
      <c r="AC47" s="111">
        <f t="shared" si="125"/>
        <v>1521.6</v>
      </c>
      <c r="AD47" s="111">
        <f t="shared" si="125"/>
        <v>2103.5</v>
      </c>
      <c r="AE47" s="42">
        <f t="shared" si="126"/>
        <v>728.2</v>
      </c>
      <c r="AF47" s="125">
        <f>RCFs!C$13</f>
        <v>19.133333333333333</v>
      </c>
      <c r="AG47" s="110">
        <f t="shared" si="127"/>
        <v>1201.5</v>
      </c>
      <c r="AH47" s="110">
        <f t="shared" si="127"/>
        <v>1529.2</v>
      </c>
      <c r="AI47" s="110">
        <f t="shared" si="127"/>
        <v>2184.6</v>
      </c>
      <c r="AJ47" s="42">
        <f t="shared" si="111"/>
        <v>721.1</v>
      </c>
      <c r="AK47" s="125">
        <f>RCFs!C$25</f>
        <v>18.946666666666665</v>
      </c>
      <c r="AL47" s="42">
        <f t="shared" si="112"/>
        <v>955</v>
      </c>
      <c r="AM47" s="125">
        <f>RCFs!C$29</f>
        <v>25.09333333333333</v>
      </c>
      <c r="AN47" s="42">
        <f t="shared" si="113"/>
        <v>765.8</v>
      </c>
      <c r="AO47" s="125">
        <f>RCFs!C$33</f>
        <v>20.121274</v>
      </c>
      <c r="AP47" s="110">
        <f t="shared" si="114"/>
        <v>1148.7</v>
      </c>
      <c r="AQ47" s="124">
        <f t="shared" si="115"/>
        <v>996.7</v>
      </c>
      <c r="AR47" s="125">
        <f>RCFs!C$35</f>
        <v>26.19</v>
      </c>
      <c r="AS47" s="110">
        <f t="shared" si="116"/>
        <v>1295.7</v>
      </c>
      <c r="AT47" s="110">
        <f t="shared" si="117"/>
        <v>37.9</v>
      </c>
      <c r="AU47" s="124">
        <f t="shared" si="118"/>
        <v>741.6</v>
      </c>
      <c r="AV47" s="124">
        <f>RCFs!C$37</f>
        <v>19.486666666666668</v>
      </c>
      <c r="AW47" s="124">
        <f t="shared" si="128"/>
        <v>754.6</v>
      </c>
      <c r="AX47" s="125">
        <f>RCFs!C$64</f>
        <v>19.826666666666664</v>
      </c>
      <c r="AY47" s="124">
        <f t="shared" si="119"/>
        <v>721.1</v>
      </c>
      <c r="AZ47" s="125">
        <f>RCFs!C$39</f>
        <v>18.946666666666665</v>
      </c>
      <c r="BA47" s="124">
        <f t="shared" si="120"/>
        <v>725.7</v>
      </c>
      <c r="BB47" s="125">
        <f>RCFs!C$41</f>
        <v>19.068114999999999</v>
      </c>
    </row>
    <row r="48" spans="1:54" s="67" customFormat="1" x14ac:dyDescent="0.3">
      <c r="A48" s="66" t="s">
        <v>32</v>
      </c>
      <c r="B48" s="68" t="s">
        <v>57</v>
      </c>
      <c r="C48" s="46">
        <v>30</v>
      </c>
      <c r="D48" s="42">
        <f t="shared" si="121"/>
        <v>2258.1</v>
      </c>
      <c r="E48" s="123">
        <f>RCFs!C$43</f>
        <v>75.268515088574986</v>
      </c>
      <c r="F48" s="124">
        <f t="shared" si="105"/>
        <v>556.79999999999995</v>
      </c>
      <c r="G48" s="123">
        <f>RCFs!C$5</f>
        <v>18.559999999999999</v>
      </c>
      <c r="H48" s="124">
        <f t="shared" si="106"/>
        <v>556.79999999999995</v>
      </c>
      <c r="I48" s="123">
        <f>RCFs!C$5</f>
        <v>18.559999999999999</v>
      </c>
      <c r="J48" s="111">
        <f t="shared" si="122"/>
        <v>612.5</v>
      </c>
      <c r="K48" s="111">
        <f t="shared" si="122"/>
        <v>762.8</v>
      </c>
      <c r="L48" s="111">
        <f t="shared" si="122"/>
        <v>818.5</v>
      </c>
      <c r="M48" s="111">
        <f t="shared" si="122"/>
        <v>902</v>
      </c>
      <c r="N48" s="111">
        <f t="shared" si="122"/>
        <v>1113.5999999999999</v>
      </c>
      <c r="O48" s="111">
        <f t="shared" si="122"/>
        <v>1197.0999999999999</v>
      </c>
      <c r="P48" s="111">
        <f t="shared" si="122"/>
        <v>1670.4</v>
      </c>
      <c r="Q48" s="42">
        <f t="shared" si="107"/>
        <v>579.1</v>
      </c>
      <c r="R48" s="125">
        <f>RCFs!C$7</f>
        <v>19.303333333333335</v>
      </c>
      <c r="S48" s="111">
        <f t="shared" si="123"/>
        <v>752.8</v>
      </c>
      <c r="T48" s="111">
        <f t="shared" si="123"/>
        <v>868.6</v>
      </c>
      <c r="U48" s="42">
        <f t="shared" si="108"/>
        <v>523.5</v>
      </c>
      <c r="V48" s="125">
        <f>RCFs!$S$54</f>
        <v>17.45</v>
      </c>
      <c r="W48" s="42">
        <f t="shared" si="124"/>
        <v>557.79999999999995</v>
      </c>
      <c r="X48" s="125">
        <f>RCFs!$S$56</f>
        <v>18.59333333333333</v>
      </c>
      <c r="Y48" s="111">
        <f t="shared" si="73"/>
        <v>613.5</v>
      </c>
      <c r="Z48" s="111">
        <f t="shared" si="125"/>
        <v>764.2</v>
      </c>
      <c r="AA48" s="111">
        <f t="shared" si="125"/>
        <v>903.6</v>
      </c>
      <c r="AB48" s="111">
        <f t="shared" si="125"/>
        <v>820</v>
      </c>
      <c r="AC48" s="111">
        <f t="shared" si="125"/>
        <v>1210.4000000000001</v>
      </c>
      <c r="AD48" s="111">
        <f t="shared" si="125"/>
        <v>1673.4</v>
      </c>
      <c r="AE48" s="42">
        <f t="shared" si="126"/>
        <v>574</v>
      </c>
      <c r="AF48" s="125">
        <f>RCFs!C$13</f>
        <v>19.133333333333333</v>
      </c>
      <c r="AG48" s="110">
        <f t="shared" si="127"/>
        <v>947.1</v>
      </c>
      <c r="AH48" s="110">
        <f t="shared" si="127"/>
        <v>1205.4000000000001</v>
      </c>
      <c r="AI48" s="110">
        <f t="shared" si="127"/>
        <v>1722</v>
      </c>
      <c r="AJ48" s="42">
        <f t="shared" si="111"/>
        <v>568.4</v>
      </c>
      <c r="AK48" s="125">
        <f>RCFs!C$25</f>
        <v>18.946666666666665</v>
      </c>
      <c r="AL48" s="42">
        <f t="shared" si="112"/>
        <v>752.8</v>
      </c>
      <c r="AM48" s="125">
        <f>RCFs!C$29</f>
        <v>25.09333333333333</v>
      </c>
      <c r="AN48" s="42">
        <f t="shared" si="113"/>
        <v>603.6</v>
      </c>
      <c r="AO48" s="125">
        <f>RCFs!C$33</f>
        <v>20.121274</v>
      </c>
      <c r="AP48" s="110">
        <f t="shared" si="114"/>
        <v>905.4</v>
      </c>
      <c r="AQ48" s="124">
        <f t="shared" si="115"/>
        <v>785.7</v>
      </c>
      <c r="AR48" s="125">
        <f>RCFs!C$35</f>
        <v>26.19</v>
      </c>
      <c r="AS48" s="110">
        <f t="shared" si="116"/>
        <v>1021.4</v>
      </c>
      <c r="AT48" s="110">
        <f t="shared" si="117"/>
        <v>37.9</v>
      </c>
      <c r="AU48" s="124">
        <f t="shared" si="118"/>
        <v>584.6</v>
      </c>
      <c r="AV48" s="124">
        <f>RCFs!C$37</f>
        <v>19.486666666666668</v>
      </c>
      <c r="AW48" s="124">
        <f t="shared" si="128"/>
        <v>594.79999999999995</v>
      </c>
      <c r="AX48" s="125">
        <f>RCFs!C$64</f>
        <v>19.826666666666664</v>
      </c>
      <c r="AY48" s="124">
        <f t="shared" si="119"/>
        <v>568.4</v>
      </c>
      <c r="AZ48" s="125">
        <f>RCFs!C$39</f>
        <v>18.946666666666665</v>
      </c>
      <c r="BA48" s="124">
        <f t="shared" si="120"/>
        <v>572</v>
      </c>
      <c r="BB48" s="125">
        <f>RCFs!C$41</f>
        <v>19.068114999999999</v>
      </c>
    </row>
    <row r="49" spans="1:54" s="67" customFormat="1" ht="27.6" x14ac:dyDescent="0.3">
      <c r="A49" s="66" t="s">
        <v>31</v>
      </c>
      <c r="B49" s="68" t="s">
        <v>58</v>
      </c>
      <c r="C49" s="46">
        <v>100</v>
      </c>
      <c r="D49" s="42">
        <f t="shared" si="121"/>
        <v>7526.9</v>
      </c>
      <c r="E49" s="123">
        <f>RCFs!C$43</f>
        <v>75.268515088574986</v>
      </c>
      <c r="F49" s="124">
        <f t="shared" si="105"/>
        <v>1856</v>
      </c>
      <c r="G49" s="123">
        <f>RCFs!C$5</f>
        <v>18.559999999999999</v>
      </c>
      <c r="H49" s="124">
        <f t="shared" si="106"/>
        <v>1856</v>
      </c>
      <c r="I49" s="123">
        <f>RCFs!C$5</f>
        <v>18.559999999999999</v>
      </c>
      <c r="J49" s="111">
        <f t="shared" si="122"/>
        <v>2041.6</v>
      </c>
      <c r="K49" s="111">
        <f t="shared" si="122"/>
        <v>2542.6999999999998</v>
      </c>
      <c r="L49" s="111">
        <f t="shared" si="122"/>
        <v>2728.3</v>
      </c>
      <c r="M49" s="111">
        <f t="shared" si="122"/>
        <v>3006.7</v>
      </c>
      <c r="N49" s="111">
        <f t="shared" si="122"/>
        <v>3712</v>
      </c>
      <c r="O49" s="111">
        <f t="shared" si="122"/>
        <v>3990.4</v>
      </c>
      <c r="P49" s="111">
        <f t="shared" si="122"/>
        <v>5568</v>
      </c>
      <c r="Q49" s="42">
        <f t="shared" si="107"/>
        <v>1930.3</v>
      </c>
      <c r="R49" s="125">
        <f>RCFs!C$7</f>
        <v>19.303333333333335</v>
      </c>
      <c r="S49" s="111">
        <f t="shared" si="123"/>
        <v>2509.3000000000002</v>
      </c>
      <c r="T49" s="111">
        <f t="shared" si="123"/>
        <v>2895.4</v>
      </c>
      <c r="U49" s="42">
        <f t="shared" si="108"/>
        <v>1745</v>
      </c>
      <c r="V49" s="125">
        <f>RCFs!$S$54</f>
        <v>17.45</v>
      </c>
      <c r="W49" s="42">
        <f t="shared" si="124"/>
        <v>1859.3</v>
      </c>
      <c r="X49" s="125">
        <f>RCFs!$S$56</f>
        <v>18.59333333333333</v>
      </c>
      <c r="Y49" s="111">
        <f t="shared" si="73"/>
        <v>2045.2</v>
      </c>
      <c r="Z49" s="111">
        <f t="shared" si="125"/>
        <v>2547.3000000000002</v>
      </c>
      <c r="AA49" s="111">
        <f t="shared" si="125"/>
        <v>3012.1</v>
      </c>
      <c r="AB49" s="111">
        <f t="shared" si="125"/>
        <v>2733.2</v>
      </c>
      <c r="AC49" s="111">
        <f t="shared" si="125"/>
        <v>4034.8</v>
      </c>
      <c r="AD49" s="111">
        <f t="shared" si="125"/>
        <v>5578</v>
      </c>
      <c r="AE49" s="42">
        <f t="shared" si="126"/>
        <v>1913.3</v>
      </c>
      <c r="AF49" s="125">
        <f>RCFs!C$13</f>
        <v>19.133333333333333</v>
      </c>
      <c r="AG49" s="110">
        <f t="shared" si="127"/>
        <v>3156.9</v>
      </c>
      <c r="AH49" s="110">
        <f t="shared" si="127"/>
        <v>4017.9</v>
      </c>
      <c r="AI49" s="110">
        <f t="shared" si="127"/>
        <v>5739.9</v>
      </c>
      <c r="AJ49" s="42">
        <f t="shared" si="111"/>
        <v>1894.6</v>
      </c>
      <c r="AK49" s="125">
        <f>RCFs!C$25</f>
        <v>18.946666666666665</v>
      </c>
      <c r="AL49" s="42">
        <f t="shared" si="112"/>
        <v>2509.3000000000002</v>
      </c>
      <c r="AM49" s="125">
        <f>RCFs!C$29</f>
        <v>25.09333333333333</v>
      </c>
      <c r="AN49" s="42">
        <f t="shared" si="113"/>
        <v>2012.1</v>
      </c>
      <c r="AO49" s="125">
        <f>RCFs!C$33</f>
        <v>20.121274</v>
      </c>
      <c r="AP49" s="110">
        <f t="shared" si="114"/>
        <v>3018.1</v>
      </c>
      <c r="AQ49" s="124">
        <f t="shared" si="115"/>
        <v>2619</v>
      </c>
      <c r="AR49" s="125">
        <f>RCFs!C$35</f>
        <v>26.19</v>
      </c>
      <c r="AS49" s="110">
        <f t="shared" si="116"/>
        <v>3404.7</v>
      </c>
      <c r="AT49" s="110">
        <f t="shared" si="117"/>
        <v>37.9</v>
      </c>
      <c r="AU49" s="124">
        <f t="shared" si="118"/>
        <v>1948.6</v>
      </c>
      <c r="AV49" s="124">
        <f>RCFs!C$37</f>
        <v>19.486666666666668</v>
      </c>
      <c r="AW49" s="124">
        <f t="shared" si="128"/>
        <v>1982.6</v>
      </c>
      <c r="AX49" s="125">
        <f>RCFs!C$64</f>
        <v>19.826666666666664</v>
      </c>
      <c r="AY49" s="124">
        <f t="shared" si="119"/>
        <v>1894.6</v>
      </c>
      <c r="AZ49" s="125">
        <f>RCFs!C$39</f>
        <v>18.946666666666665</v>
      </c>
      <c r="BA49" s="124">
        <f t="shared" si="120"/>
        <v>1906.8</v>
      </c>
      <c r="BB49" s="125">
        <f>RCFs!C$41</f>
        <v>19.068114999999999</v>
      </c>
    </row>
    <row r="50" spans="1:54" s="67" customFormat="1" ht="27.6" x14ac:dyDescent="0.3">
      <c r="A50" s="66" t="s">
        <v>28</v>
      </c>
      <c r="B50" s="68" t="s">
        <v>59</v>
      </c>
      <c r="C50" s="46">
        <v>50</v>
      </c>
      <c r="D50" s="42">
        <f t="shared" si="121"/>
        <v>3763.4</v>
      </c>
      <c r="E50" s="123">
        <f>RCFs!C$43</f>
        <v>75.268515088574986</v>
      </c>
      <c r="F50" s="124">
        <f t="shared" si="105"/>
        <v>928</v>
      </c>
      <c r="G50" s="123">
        <f>RCFs!C$5</f>
        <v>18.559999999999999</v>
      </c>
      <c r="H50" s="124">
        <f t="shared" si="106"/>
        <v>928</v>
      </c>
      <c r="I50" s="123">
        <f>RCFs!C$5</f>
        <v>18.559999999999999</v>
      </c>
      <c r="J50" s="111">
        <f t="shared" si="122"/>
        <v>1020.8</v>
      </c>
      <c r="K50" s="111">
        <f t="shared" si="122"/>
        <v>1271.4000000000001</v>
      </c>
      <c r="L50" s="111">
        <f t="shared" si="122"/>
        <v>1364.2</v>
      </c>
      <c r="M50" s="111">
        <f t="shared" si="122"/>
        <v>1503.4</v>
      </c>
      <c r="N50" s="111">
        <f t="shared" si="122"/>
        <v>1856</v>
      </c>
      <c r="O50" s="111">
        <f t="shared" si="122"/>
        <v>1995.2</v>
      </c>
      <c r="P50" s="111">
        <f t="shared" si="122"/>
        <v>2784</v>
      </c>
      <c r="Q50" s="42">
        <f t="shared" si="107"/>
        <v>965.1</v>
      </c>
      <c r="R50" s="125">
        <f>RCFs!C$7</f>
        <v>19.303333333333335</v>
      </c>
      <c r="S50" s="111">
        <f t="shared" si="123"/>
        <v>1254.5999999999999</v>
      </c>
      <c r="T50" s="111">
        <f t="shared" si="123"/>
        <v>1447.6</v>
      </c>
      <c r="U50" s="42">
        <f t="shared" si="108"/>
        <v>872.5</v>
      </c>
      <c r="V50" s="125">
        <f>RCFs!$S$54</f>
        <v>17.45</v>
      </c>
      <c r="W50" s="42">
        <f t="shared" si="124"/>
        <v>929.7</v>
      </c>
      <c r="X50" s="125">
        <f>RCFs!$S$56</f>
        <v>18.59333333333333</v>
      </c>
      <c r="Y50" s="111">
        <f t="shared" si="73"/>
        <v>1022.6</v>
      </c>
      <c r="Z50" s="111">
        <f t="shared" si="125"/>
        <v>1273.5999999999999</v>
      </c>
      <c r="AA50" s="111">
        <f t="shared" si="125"/>
        <v>1506.1</v>
      </c>
      <c r="AB50" s="111">
        <f t="shared" si="125"/>
        <v>1366.6</v>
      </c>
      <c r="AC50" s="111">
        <f t="shared" si="125"/>
        <v>2017.4</v>
      </c>
      <c r="AD50" s="111">
        <f t="shared" si="125"/>
        <v>2789</v>
      </c>
      <c r="AE50" s="42">
        <f t="shared" si="126"/>
        <v>956.7</v>
      </c>
      <c r="AF50" s="125">
        <f>RCFs!C$13</f>
        <v>19.133333333333333</v>
      </c>
      <c r="AG50" s="110">
        <f t="shared" si="127"/>
        <v>1578.6</v>
      </c>
      <c r="AH50" s="110">
        <f t="shared" si="127"/>
        <v>2009.1</v>
      </c>
      <c r="AI50" s="110">
        <f t="shared" si="127"/>
        <v>2870.1</v>
      </c>
      <c r="AJ50" s="42">
        <f t="shared" si="111"/>
        <v>947.3</v>
      </c>
      <c r="AK50" s="125">
        <f>RCFs!C$25</f>
        <v>18.946666666666665</v>
      </c>
      <c r="AL50" s="42">
        <f t="shared" si="112"/>
        <v>1254.5999999999999</v>
      </c>
      <c r="AM50" s="125">
        <f>RCFs!C$29</f>
        <v>25.09333333333333</v>
      </c>
      <c r="AN50" s="42">
        <f t="shared" si="113"/>
        <v>1006</v>
      </c>
      <c r="AO50" s="125">
        <f>RCFs!C$33</f>
        <v>20.121274</v>
      </c>
      <c r="AP50" s="110">
        <f t="shared" si="114"/>
        <v>1509</v>
      </c>
      <c r="AQ50" s="124">
        <f t="shared" si="115"/>
        <v>1309.5</v>
      </c>
      <c r="AR50" s="125">
        <f>RCFs!C$35</f>
        <v>26.19</v>
      </c>
      <c r="AS50" s="110">
        <f t="shared" si="116"/>
        <v>1702.3</v>
      </c>
      <c r="AT50" s="110">
        <f t="shared" si="117"/>
        <v>37.9</v>
      </c>
      <c r="AU50" s="124">
        <f t="shared" si="118"/>
        <v>974.3</v>
      </c>
      <c r="AV50" s="124">
        <f>RCFs!C$37</f>
        <v>19.486666666666668</v>
      </c>
      <c r="AW50" s="124">
        <f t="shared" si="128"/>
        <v>991.3</v>
      </c>
      <c r="AX50" s="125">
        <f>RCFs!C$64</f>
        <v>19.826666666666664</v>
      </c>
      <c r="AY50" s="124">
        <f t="shared" si="119"/>
        <v>947.3</v>
      </c>
      <c r="AZ50" s="125">
        <f>RCFs!C$39</f>
        <v>18.946666666666665</v>
      </c>
      <c r="BA50" s="124">
        <f t="shared" si="120"/>
        <v>953.4</v>
      </c>
      <c r="BB50" s="125">
        <f>RCFs!C$41</f>
        <v>19.068114999999999</v>
      </c>
    </row>
    <row r="51" spans="1:54" s="67" customFormat="1" ht="69" x14ac:dyDescent="0.3">
      <c r="A51" s="128" t="s">
        <v>116</v>
      </c>
      <c r="B51" s="129" t="s">
        <v>118</v>
      </c>
      <c r="C51" s="130">
        <v>30</v>
      </c>
      <c r="D51" s="42">
        <f t="shared" si="121"/>
        <v>2258.1</v>
      </c>
      <c r="E51" s="123">
        <f>RCFs!C$43</f>
        <v>75.268515088574986</v>
      </c>
      <c r="F51" s="124">
        <f t="shared" si="105"/>
        <v>556.79999999999995</v>
      </c>
      <c r="G51" s="123">
        <f>RCFs!C$5</f>
        <v>18.559999999999999</v>
      </c>
      <c r="H51" s="124">
        <f t="shared" si="106"/>
        <v>556.79999999999995</v>
      </c>
      <c r="I51" s="123">
        <f>RCFs!C$5</f>
        <v>18.559999999999999</v>
      </c>
      <c r="J51" s="111">
        <f t="shared" si="122"/>
        <v>612.5</v>
      </c>
      <c r="K51" s="111">
        <f t="shared" si="122"/>
        <v>762.8</v>
      </c>
      <c r="L51" s="111">
        <f t="shared" si="122"/>
        <v>818.5</v>
      </c>
      <c r="M51" s="111">
        <f t="shared" si="122"/>
        <v>902</v>
      </c>
      <c r="N51" s="111">
        <f t="shared" si="122"/>
        <v>1113.5999999999999</v>
      </c>
      <c r="O51" s="111">
        <f t="shared" si="122"/>
        <v>1197.0999999999999</v>
      </c>
      <c r="P51" s="111">
        <f t="shared" si="122"/>
        <v>1670.4</v>
      </c>
      <c r="Q51" s="42">
        <f t="shared" si="107"/>
        <v>579.1</v>
      </c>
      <c r="R51" s="125">
        <f>RCFs!C$7</f>
        <v>19.303333333333335</v>
      </c>
      <c r="S51" s="111">
        <f t="shared" si="123"/>
        <v>752.8</v>
      </c>
      <c r="T51" s="111">
        <f t="shared" si="123"/>
        <v>868.6</v>
      </c>
      <c r="U51" s="42">
        <f t="shared" si="108"/>
        <v>523.5</v>
      </c>
      <c r="V51" s="125">
        <f>RCFs!$S$54</f>
        <v>17.45</v>
      </c>
      <c r="W51" s="42">
        <f t="shared" si="124"/>
        <v>557.79999999999995</v>
      </c>
      <c r="X51" s="125">
        <f>RCFs!$S$56</f>
        <v>18.59333333333333</v>
      </c>
      <c r="Y51" s="111">
        <f t="shared" si="73"/>
        <v>613.5</v>
      </c>
      <c r="Z51" s="111">
        <f t="shared" si="125"/>
        <v>764.2</v>
      </c>
      <c r="AA51" s="111">
        <f t="shared" si="125"/>
        <v>903.6</v>
      </c>
      <c r="AB51" s="111">
        <f t="shared" si="125"/>
        <v>820</v>
      </c>
      <c r="AC51" s="111">
        <f t="shared" si="125"/>
        <v>1210.4000000000001</v>
      </c>
      <c r="AD51" s="111">
        <f t="shared" si="125"/>
        <v>1673.4</v>
      </c>
      <c r="AE51" s="42">
        <f t="shared" si="126"/>
        <v>574</v>
      </c>
      <c r="AF51" s="125">
        <f>RCFs!C$13</f>
        <v>19.133333333333333</v>
      </c>
      <c r="AG51" s="110">
        <f t="shared" si="127"/>
        <v>947.1</v>
      </c>
      <c r="AH51" s="110">
        <f t="shared" si="127"/>
        <v>1205.4000000000001</v>
      </c>
      <c r="AI51" s="110">
        <f t="shared" si="127"/>
        <v>1722</v>
      </c>
      <c r="AJ51" s="42">
        <f t="shared" si="111"/>
        <v>568.4</v>
      </c>
      <c r="AK51" s="125">
        <f>RCFs!C$25</f>
        <v>18.946666666666665</v>
      </c>
      <c r="AL51" s="42">
        <f t="shared" si="112"/>
        <v>752.8</v>
      </c>
      <c r="AM51" s="125">
        <f>RCFs!C$29</f>
        <v>25.09333333333333</v>
      </c>
      <c r="AN51" s="42">
        <f t="shared" si="113"/>
        <v>603.6</v>
      </c>
      <c r="AO51" s="125">
        <f>RCFs!C$33</f>
        <v>20.121274</v>
      </c>
      <c r="AP51" s="110">
        <f t="shared" si="114"/>
        <v>905.4</v>
      </c>
      <c r="AQ51" s="124">
        <f t="shared" si="115"/>
        <v>785.7</v>
      </c>
      <c r="AR51" s="125">
        <f>RCFs!C$35</f>
        <v>26.19</v>
      </c>
      <c r="AS51" s="110">
        <f t="shared" si="116"/>
        <v>1021.4</v>
      </c>
      <c r="AT51" s="110">
        <f t="shared" si="117"/>
        <v>37.9</v>
      </c>
      <c r="AU51" s="124">
        <f t="shared" si="118"/>
        <v>584.6</v>
      </c>
      <c r="AV51" s="124">
        <f>RCFs!C$37</f>
        <v>19.486666666666668</v>
      </c>
      <c r="AW51" s="124">
        <f t="shared" si="128"/>
        <v>594.79999999999995</v>
      </c>
      <c r="AX51" s="125">
        <f>RCFs!C$64</f>
        <v>19.826666666666664</v>
      </c>
      <c r="AY51" s="124">
        <f t="shared" si="119"/>
        <v>568.4</v>
      </c>
      <c r="AZ51" s="125">
        <f>RCFs!C$39</f>
        <v>18.946666666666665</v>
      </c>
      <c r="BA51" s="124">
        <f t="shared" si="120"/>
        <v>572</v>
      </c>
      <c r="BB51" s="125">
        <f>RCFs!C$41</f>
        <v>19.068114999999999</v>
      </c>
    </row>
    <row r="52" spans="1:54" s="67" customFormat="1" ht="41.4" x14ac:dyDescent="0.3">
      <c r="A52" s="128" t="s">
        <v>38</v>
      </c>
      <c r="B52" s="129" t="s">
        <v>43</v>
      </c>
      <c r="C52" s="130">
        <v>137</v>
      </c>
      <c r="D52" s="42">
        <f t="shared" si="121"/>
        <v>10311.799999999999</v>
      </c>
      <c r="E52" s="123">
        <f>RCFs!C$43</f>
        <v>75.268515088574986</v>
      </c>
      <c r="F52" s="124">
        <f t="shared" si="105"/>
        <v>2542.6999999999998</v>
      </c>
      <c r="G52" s="123">
        <f>RCFs!C$5</f>
        <v>18.559999999999999</v>
      </c>
      <c r="H52" s="124">
        <f t="shared" si="106"/>
        <v>2542.6999999999998</v>
      </c>
      <c r="I52" s="123">
        <f>RCFs!C$5</f>
        <v>18.559999999999999</v>
      </c>
      <c r="J52" s="111">
        <f t="shared" si="122"/>
        <v>2797</v>
      </c>
      <c r="K52" s="111">
        <f t="shared" si="122"/>
        <v>3483.5</v>
      </c>
      <c r="L52" s="111">
        <f t="shared" si="122"/>
        <v>3737.8</v>
      </c>
      <c r="M52" s="111">
        <f t="shared" si="122"/>
        <v>4119.2</v>
      </c>
      <c r="N52" s="111">
        <f t="shared" si="122"/>
        <v>5085.3999999999996</v>
      </c>
      <c r="O52" s="111">
        <f t="shared" si="122"/>
        <v>5466.8</v>
      </c>
      <c r="P52" s="111">
        <f t="shared" si="122"/>
        <v>7628.2</v>
      </c>
      <c r="Q52" s="42">
        <f t="shared" si="107"/>
        <v>2644.5</v>
      </c>
      <c r="R52" s="125">
        <f>RCFs!C$7</f>
        <v>19.303333333333335</v>
      </c>
      <c r="S52" s="111">
        <f t="shared" si="123"/>
        <v>3437.8</v>
      </c>
      <c r="T52" s="111">
        <f t="shared" si="123"/>
        <v>3966.7</v>
      </c>
      <c r="U52" s="42">
        <f t="shared" si="108"/>
        <v>2390.6999999999998</v>
      </c>
      <c r="V52" s="125">
        <f>RCFs!$S$54</f>
        <v>17.45</v>
      </c>
      <c r="W52" s="42">
        <f t="shared" si="124"/>
        <v>2547.3000000000002</v>
      </c>
      <c r="X52" s="125">
        <f>RCFs!$S$56</f>
        <v>18.59333333333333</v>
      </c>
      <c r="Y52" s="111">
        <f t="shared" si="73"/>
        <v>2802</v>
      </c>
      <c r="Z52" s="111">
        <f t="shared" si="125"/>
        <v>3489.8</v>
      </c>
      <c r="AA52" s="111">
        <f t="shared" si="125"/>
        <v>4126.6000000000004</v>
      </c>
      <c r="AB52" s="111">
        <f t="shared" si="125"/>
        <v>3744.5</v>
      </c>
      <c r="AC52" s="111">
        <f t="shared" si="125"/>
        <v>5527.6</v>
      </c>
      <c r="AD52" s="111">
        <f t="shared" si="125"/>
        <v>7641.9</v>
      </c>
      <c r="AE52" s="42">
        <f t="shared" si="126"/>
        <v>2621.3000000000002</v>
      </c>
      <c r="AF52" s="125">
        <f>RCFs!C$13</f>
        <v>19.133333333333333</v>
      </c>
      <c r="AG52" s="110">
        <f t="shared" si="127"/>
        <v>4325.1000000000004</v>
      </c>
      <c r="AH52" s="110">
        <f t="shared" si="127"/>
        <v>5504.7</v>
      </c>
      <c r="AI52" s="110">
        <f t="shared" si="127"/>
        <v>7863.9</v>
      </c>
      <c r="AJ52" s="42">
        <f t="shared" si="111"/>
        <v>2595.6</v>
      </c>
      <c r="AK52" s="125">
        <f>RCFs!C$25</f>
        <v>18.946666666666665</v>
      </c>
      <c r="AL52" s="42">
        <f t="shared" si="112"/>
        <v>3437.7</v>
      </c>
      <c r="AM52" s="125">
        <f>RCFs!C$29</f>
        <v>25.09333333333333</v>
      </c>
      <c r="AN52" s="42">
        <f t="shared" si="113"/>
        <v>2756.6</v>
      </c>
      <c r="AO52" s="125">
        <f>RCFs!C$33</f>
        <v>20.121274</v>
      </c>
      <c r="AP52" s="110">
        <f t="shared" si="114"/>
        <v>4134.8999999999996</v>
      </c>
      <c r="AQ52" s="124">
        <f t="shared" si="115"/>
        <v>3588</v>
      </c>
      <c r="AR52" s="125">
        <f>RCFs!C$35</f>
        <v>26.19</v>
      </c>
      <c r="AS52" s="110">
        <f t="shared" si="116"/>
        <v>4664.3999999999996</v>
      </c>
      <c r="AT52" s="110">
        <f t="shared" si="117"/>
        <v>37.9</v>
      </c>
      <c r="AU52" s="124">
        <f t="shared" si="118"/>
        <v>2669.6</v>
      </c>
      <c r="AV52" s="124">
        <f>RCFs!C$37</f>
        <v>19.486666666666668</v>
      </c>
      <c r="AW52" s="124">
        <f t="shared" si="128"/>
        <v>2716.2</v>
      </c>
      <c r="AX52" s="125">
        <f>RCFs!C$64</f>
        <v>19.826666666666664</v>
      </c>
      <c r="AY52" s="124">
        <f t="shared" si="119"/>
        <v>2595.6</v>
      </c>
      <c r="AZ52" s="125">
        <f>RCFs!C$39</f>
        <v>18.946666666666665</v>
      </c>
      <c r="BA52" s="124">
        <f t="shared" si="120"/>
        <v>2612.3000000000002</v>
      </c>
      <c r="BB52" s="125">
        <f>RCFs!C$41</f>
        <v>19.068114999999999</v>
      </c>
    </row>
    <row r="53" spans="1:54" s="67" customFormat="1" ht="41.4" x14ac:dyDescent="0.3">
      <c r="A53" s="128" t="s">
        <v>117</v>
      </c>
      <c r="B53" s="129" t="s">
        <v>119</v>
      </c>
      <c r="C53" s="130">
        <v>58</v>
      </c>
      <c r="D53" s="42">
        <f t="shared" si="121"/>
        <v>4365.6000000000004</v>
      </c>
      <c r="E53" s="123">
        <f>RCFs!C$43</f>
        <v>75.268515088574986</v>
      </c>
      <c r="F53" s="124">
        <f t="shared" si="105"/>
        <v>1076.4000000000001</v>
      </c>
      <c r="G53" s="123">
        <f>RCFs!C$5</f>
        <v>18.559999999999999</v>
      </c>
      <c r="H53" s="124">
        <f t="shared" si="106"/>
        <v>1076.4000000000001</v>
      </c>
      <c r="I53" s="123">
        <f>RCFs!C$5</f>
        <v>18.559999999999999</v>
      </c>
      <c r="J53" s="111">
        <f t="shared" si="122"/>
        <v>1184.0999999999999</v>
      </c>
      <c r="K53" s="111">
        <f t="shared" si="122"/>
        <v>1474.8</v>
      </c>
      <c r="L53" s="111">
        <f t="shared" si="122"/>
        <v>1582.4</v>
      </c>
      <c r="M53" s="111">
        <f t="shared" si="122"/>
        <v>1743.9</v>
      </c>
      <c r="N53" s="111">
        <f t="shared" si="122"/>
        <v>2153</v>
      </c>
      <c r="O53" s="111">
        <f t="shared" si="122"/>
        <v>2314.4</v>
      </c>
      <c r="P53" s="111">
        <f t="shared" si="122"/>
        <v>3229.4</v>
      </c>
      <c r="Q53" s="42">
        <f t="shared" si="107"/>
        <v>1119.5</v>
      </c>
      <c r="R53" s="125">
        <f>RCFs!C$7</f>
        <v>19.303333333333335</v>
      </c>
      <c r="S53" s="111">
        <f t="shared" si="123"/>
        <v>1455.3</v>
      </c>
      <c r="T53" s="111">
        <f t="shared" si="123"/>
        <v>1679.2</v>
      </c>
      <c r="U53" s="42">
        <f t="shared" si="108"/>
        <v>1012.1</v>
      </c>
      <c r="V53" s="125">
        <f>RCFs!$S$54</f>
        <v>17.45</v>
      </c>
      <c r="W53" s="42">
        <f t="shared" si="124"/>
        <v>1078.4000000000001</v>
      </c>
      <c r="X53" s="125">
        <f>RCFs!$S$56</f>
        <v>18.59333333333333</v>
      </c>
      <c r="Y53" s="111">
        <f t="shared" si="73"/>
        <v>1186.2</v>
      </c>
      <c r="Z53" s="111">
        <f t="shared" si="125"/>
        <v>1477.4</v>
      </c>
      <c r="AA53" s="111">
        <f t="shared" si="125"/>
        <v>1747</v>
      </c>
      <c r="AB53" s="111">
        <f t="shared" si="125"/>
        <v>1585.3</v>
      </c>
      <c r="AC53" s="111">
        <f t="shared" si="125"/>
        <v>2340.1999999999998</v>
      </c>
      <c r="AD53" s="111">
        <f t="shared" si="125"/>
        <v>3235.2</v>
      </c>
      <c r="AE53" s="42">
        <f t="shared" si="126"/>
        <v>1109.7</v>
      </c>
      <c r="AF53" s="125">
        <f>RCFs!C$13</f>
        <v>19.133333333333333</v>
      </c>
      <c r="AG53" s="110">
        <f t="shared" si="127"/>
        <v>1831</v>
      </c>
      <c r="AH53" s="110">
        <f t="shared" si="127"/>
        <v>2330.4</v>
      </c>
      <c r="AI53" s="110">
        <f t="shared" si="127"/>
        <v>3329.1</v>
      </c>
      <c r="AJ53" s="42">
        <f t="shared" si="111"/>
        <v>1098.9000000000001</v>
      </c>
      <c r="AK53" s="125">
        <f>RCFs!C$25</f>
        <v>18.946666666666665</v>
      </c>
      <c r="AL53" s="42">
        <f t="shared" si="112"/>
        <v>1455.4</v>
      </c>
      <c r="AM53" s="125">
        <f>RCFs!C$29</f>
        <v>25.09333333333333</v>
      </c>
      <c r="AN53" s="42">
        <f t="shared" si="113"/>
        <v>1167</v>
      </c>
      <c r="AO53" s="125">
        <f>RCFs!C$33</f>
        <v>20.121274</v>
      </c>
      <c r="AP53" s="110">
        <f t="shared" si="114"/>
        <v>1750.5</v>
      </c>
      <c r="AQ53" s="124">
        <f t="shared" si="115"/>
        <v>1519</v>
      </c>
      <c r="AR53" s="125">
        <f>RCFs!C$35</f>
        <v>26.19</v>
      </c>
      <c r="AS53" s="110">
        <f t="shared" si="116"/>
        <v>1974.7</v>
      </c>
      <c r="AT53" s="110">
        <f t="shared" si="117"/>
        <v>37.9</v>
      </c>
      <c r="AU53" s="124">
        <f t="shared" si="118"/>
        <v>1130.2</v>
      </c>
      <c r="AV53" s="124">
        <f>RCFs!C$37</f>
        <v>19.486666666666668</v>
      </c>
      <c r="AW53" s="124">
        <f t="shared" si="128"/>
        <v>1149.9000000000001</v>
      </c>
      <c r="AX53" s="125">
        <f>RCFs!C$64</f>
        <v>19.826666666666664</v>
      </c>
      <c r="AY53" s="124">
        <f t="shared" si="119"/>
        <v>1098.9000000000001</v>
      </c>
      <c r="AZ53" s="125">
        <f>RCFs!C$39</f>
        <v>18.946666666666665</v>
      </c>
      <c r="BA53" s="124">
        <f t="shared" si="120"/>
        <v>1105.9000000000001</v>
      </c>
      <c r="BB53" s="125">
        <f>RCFs!C$41</f>
        <v>19.068114999999999</v>
      </c>
    </row>
    <row r="54" spans="1:54" s="67" customFormat="1" ht="41.4" x14ac:dyDescent="0.3">
      <c r="A54" s="66" t="s">
        <v>29</v>
      </c>
      <c r="B54" s="68" t="s">
        <v>44</v>
      </c>
      <c r="C54" s="46">
        <v>50</v>
      </c>
      <c r="D54" s="42">
        <f t="shared" si="121"/>
        <v>3763.4</v>
      </c>
      <c r="E54" s="123">
        <f>RCFs!C$43</f>
        <v>75.268515088574986</v>
      </c>
      <c r="F54" s="124">
        <f t="shared" si="105"/>
        <v>928</v>
      </c>
      <c r="G54" s="123">
        <f>RCFs!C$5</f>
        <v>18.559999999999999</v>
      </c>
      <c r="H54" s="124">
        <f t="shared" si="106"/>
        <v>928</v>
      </c>
      <c r="I54" s="123">
        <f>RCFs!C$5</f>
        <v>18.559999999999999</v>
      </c>
      <c r="J54" s="111">
        <f t="shared" ref="J54:P69" si="147">ROUND($C54*$I54*J$6,1)</f>
        <v>1020.8</v>
      </c>
      <c r="K54" s="111">
        <f t="shared" si="147"/>
        <v>1271.4000000000001</v>
      </c>
      <c r="L54" s="111">
        <f t="shared" si="147"/>
        <v>1364.2</v>
      </c>
      <c r="M54" s="111">
        <f t="shared" si="147"/>
        <v>1503.4</v>
      </c>
      <c r="N54" s="111">
        <f t="shared" si="147"/>
        <v>1856</v>
      </c>
      <c r="O54" s="111">
        <f t="shared" si="147"/>
        <v>1995.2</v>
      </c>
      <c r="P54" s="111">
        <f t="shared" si="147"/>
        <v>2784</v>
      </c>
      <c r="Q54" s="42">
        <f t="shared" si="107"/>
        <v>965.1</v>
      </c>
      <c r="R54" s="125">
        <f>RCFs!C$7</f>
        <v>19.303333333333335</v>
      </c>
      <c r="S54" s="111">
        <f t="shared" si="123"/>
        <v>1254.5999999999999</v>
      </c>
      <c r="T54" s="111">
        <f t="shared" si="123"/>
        <v>1447.6</v>
      </c>
      <c r="U54" s="42">
        <f t="shared" si="108"/>
        <v>872.5</v>
      </c>
      <c r="V54" s="125">
        <f>RCFs!$S$54</f>
        <v>17.45</v>
      </c>
      <c r="W54" s="42">
        <f t="shared" si="124"/>
        <v>929.7</v>
      </c>
      <c r="X54" s="125">
        <f>RCFs!$S$56</f>
        <v>18.59333333333333</v>
      </c>
      <c r="Y54" s="111">
        <f t="shared" si="73"/>
        <v>1022.6</v>
      </c>
      <c r="Z54" s="111">
        <f t="shared" ref="Z54:AD69" si="148">ROUND($C54*$X54*Z$6,1)</f>
        <v>1273.5999999999999</v>
      </c>
      <c r="AA54" s="111">
        <f t="shared" si="148"/>
        <v>1506.1</v>
      </c>
      <c r="AB54" s="111">
        <f t="shared" si="148"/>
        <v>1366.6</v>
      </c>
      <c r="AC54" s="111">
        <f t="shared" si="148"/>
        <v>2017.4</v>
      </c>
      <c r="AD54" s="111">
        <f t="shared" si="148"/>
        <v>2789</v>
      </c>
      <c r="AE54" s="42">
        <f t="shared" si="126"/>
        <v>956.7</v>
      </c>
      <c r="AF54" s="125">
        <f>RCFs!C$13</f>
        <v>19.133333333333333</v>
      </c>
      <c r="AG54" s="110">
        <f t="shared" si="127"/>
        <v>1578.6</v>
      </c>
      <c r="AH54" s="110">
        <f t="shared" si="127"/>
        <v>2009.1</v>
      </c>
      <c r="AI54" s="110">
        <f t="shared" si="127"/>
        <v>2870.1</v>
      </c>
      <c r="AJ54" s="42">
        <f t="shared" si="111"/>
        <v>947.3</v>
      </c>
      <c r="AK54" s="125">
        <f>RCFs!C$25</f>
        <v>18.946666666666665</v>
      </c>
      <c r="AL54" s="42">
        <f t="shared" si="112"/>
        <v>1254.5999999999999</v>
      </c>
      <c r="AM54" s="125">
        <f>RCFs!C$29</f>
        <v>25.09333333333333</v>
      </c>
      <c r="AN54" s="42">
        <f t="shared" si="113"/>
        <v>1006</v>
      </c>
      <c r="AO54" s="125">
        <f>RCFs!C$33</f>
        <v>20.121274</v>
      </c>
      <c r="AP54" s="110">
        <f t="shared" si="114"/>
        <v>1509</v>
      </c>
      <c r="AQ54" s="124">
        <f t="shared" si="115"/>
        <v>1309.5</v>
      </c>
      <c r="AR54" s="125">
        <f>RCFs!C$35</f>
        <v>26.19</v>
      </c>
      <c r="AS54" s="110">
        <f t="shared" si="116"/>
        <v>1702.3</v>
      </c>
      <c r="AT54" s="110">
        <f t="shared" si="117"/>
        <v>37.9</v>
      </c>
      <c r="AU54" s="124">
        <f t="shared" si="118"/>
        <v>974.3</v>
      </c>
      <c r="AV54" s="124">
        <f>RCFs!C$37</f>
        <v>19.486666666666668</v>
      </c>
      <c r="AW54" s="124">
        <f t="shared" si="128"/>
        <v>991.3</v>
      </c>
      <c r="AX54" s="125">
        <f>RCFs!C$64</f>
        <v>19.826666666666664</v>
      </c>
      <c r="AY54" s="124">
        <f t="shared" si="119"/>
        <v>947.3</v>
      </c>
      <c r="AZ54" s="125">
        <f>RCFs!C$39</f>
        <v>18.946666666666665</v>
      </c>
      <c r="BA54" s="124">
        <f t="shared" si="120"/>
        <v>953.4</v>
      </c>
      <c r="BB54" s="125">
        <f>RCFs!C$41</f>
        <v>19.068114999999999</v>
      </c>
    </row>
    <row r="55" spans="1:54" s="67" customFormat="1" x14ac:dyDescent="0.3">
      <c r="A55" s="66">
        <v>1212</v>
      </c>
      <c r="B55" s="68" t="s">
        <v>182</v>
      </c>
      <c r="C55" s="46">
        <v>75</v>
      </c>
      <c r="D55" s="42">
        <f t="shared" si="121"/>
        <v>5645.1</v>
      </c>
      <c r="E55" s="123">
        <f>RCFs!C$43</f>
        <v>75.268515088574986</v>
      </c>
      <c r="F55" s="124">
        <f t="shared" si="105"/>
        <v>1392</v>
      </c>
      <c r="G55" s="123">
        <f>RCFs!C$5</f>
        <v>18.559999999999999</v>
      </c>
      <c r="H55" s="124">
        <f t="shared" si="106"/>
        <v>1392</v>
      </c>
      <c r="I55" s="123">
        <f>RCFs!C$5</f>
        <v>18.559999999999999</v>
      </c>
      <c r="J55" s="111">
        <f t="shared" si="147"/>
        <v>1531.2</v>
      </c>
      <c r="K55" s="111">
        <f t="shared" si="147"/>
        <v>1907</v>
      </c>
      <c r="L55" s="111">
        <f t="shared" si="147"/>
        <v>2046.2</v>
      </c>
      <c r="M55" s="111">
        <f t="shared" si="147"/>
        <v>2255</v>
      </c>
      <c r="N55" s="111">
        <f t="shared" si="147"/>
        <v>2784</v>
      </c>
      <c r="O55" s="111">
        <f t="shared" si="147"/>
        <v>2992.8</v>
      </c>
      <c r="P55" s="111">
        <f t="shared" si="147"/>
        <v>4176</v>
      </c>
      <c r="Q55" s="42">
        <f t="shared" si="107"/>
        <v>1447.7</v>
      </c>
      <c r="R55" s="125">
        <f>RCFs!C$7</f>
        <v>19.303333333333335</v>
      </c>
      <c r="S55" s="111">
        <f t="shared" si="123"/>
        <v>1882</v>
      </c>
      <c r="T55" s="111">
        <f t="shared" si="123"/>
        <v>2171.5</v>
      </c>
      <c r="U55" s="42">
        <f t="shared" si="108"/>
        <v>1381.7</v>
      </c>
      <c r="V55" s="125">
        <f>RCFs!C$9</f>
        <v>18.422999999999998</v>
      </c>
      <c r="W55" s="42">
        <f t="shared" si="124"/>
        <v>1381.7</v>
      </c>
      <c r="X55" s="125">
        <f t="shared" ref="X55:X120" si="149">V55</f>
        <v>18.422999999999998</v>
      </c>
      <c r="Y55" s="111">
        <f t="shared" si="73"/>
        <v>1519.8</v>
      </c>
      <c r="Z55" s="111">
        <f t="shared" si="148"/>
        <v>1893</v>
      </c>
      <c r="AA55" s="111">
        <f t="shared" si="148"/>
        <v>2238.4</v>
      </c>
      <c r="AB55" s="111">
        <f t="shared" si="148"/>
        <v>2031.1</v>
      </c>
      <c r="AC55" s="111">
        <f t="shared" si="148"/>
        <v>2998.3</v>
      </c>
      <c r="AD55" s="111">
        <f t="shared" si="148"/>
        <v>4145.2</v>
      </c>
      <c r="AE55" s="42">
        <f t="shared" si="126"/>
        <v>1435</v>
      </c>
      <c r="AF55" s="125">
        <f>RCFs!C$13</f>
        <v>19.133333333333333</v>
      </c>
      <c r="AG55" s="110">
        <f t="shared" si="127"/>
        <v>2367.8000000000002</v>
      </c>
      <c r="AH55" s="110">
        <f t="shared" si="127"/>
        <v>3013.5</v>
      </c>
      <c r="AI55" s="110">
        <f t="shared" si="127"/>
        <v>4305</v>
      </c>
      <c r="AJ55" s="42">
        <f t="shared" si="111"/>
        <v>1421</v>
      </c>
      <c r="AK55" s="125">
        <f>RCFs!C$25</f>
        <v>18.946666666666665</v>
      </c>
      <c r="AL55" s="42">
        <f t="shared" si="112"/>
        <v>1882</v>
      </c>
      <c r="AM55" s="125">
        <f>RCFs!C$29</f>
        <v>25.09333333333333</v>
      </c>
      <c r="AN55" s="42">
        <f t="shared" si="113"/>
        <v>1509</v>
      </c>
      <c r="AO55" s="125">
        <f>RCFs!C$33</f>
        <v>20.121274</v>
      </c>
      <c r="AP55" s="110">
        <f t="shared" si="114"/>
        <v>2263.5</v>
      </c>
      <c r="AQ55" s="124">
        <f t="shared" si="115"/>
        <v>1964.2</v>
      </c>
      <c r="AR55" s="125">
        <f>RCFs!C$35</f>
        <v>26.19</v>
      </c>
      <c r="AS55" s="110">
        <f t="shared" si="116"/>
        <v>2553.4</v>
      </c>
      <c r="AT55" s="110">
        <f t="shared" si="117"/>
        <v>37.9</v>
      </c>
      <c r="AU55" s="124">
        <f t="shared" si="118"/>
        <v>1461.5</v>
      </c>
      <c r="AV55" s="124">
        <f>RCFs!C$37</f>
        <v>19.486666666666668</v>
      </c>
      <c r="AW55" s="124">
        <f t="shared" si="128"/>
        <v>1487</v>
      </c>
      <c r="AX55" s="125">
        <f>RCFs!C$64</f>
        <v>19.826666666666664</v>
      </c>
      <c r="AY55" s="124">
        <f t="shared" si="119"/>
        <v>1421</v>
      </c>
      <c r="AZ55" s="125">
        <f>RCFs!C$39</f>
        <v>18.946666666666665</v>
      </c>
      <c r="BA55" s="124">
        <f t="shared" si="120"/>
        <v>1430.1</v>
      </c>
      <c r="BB55" s="125">
        <f>RCFs!C$41</f>
        <v>19.068114999999999</v>
      </c>
    </row>
    <row r="56" spans="1:54" s="67" customFormat="1" x14ac:dyDescent="0.3">
      <c r="A56" s="66" t="s">
        <v>33</v>
      </c>
      <c r="B56" s="68" t="s">
        <v>45</v>
      </c>
      <c r="C56" s="46">
        <v>50</v>
      </c>
      <c r="D56" s="42">
        <f t="shared" si="121"/>
        <v>3763.4</v>
      </c>
      <c r="E56" s="123">
        <f>RCFs!C$43</f>
        <v>75.268515088574986</v>
      </c>
      <c r="F56" s="124">
        <f t="shared" si="105"/>
        <v>928</v>
      </c>
      <c r="G56" s="123">
        <f>RCFs!C$5</f>
        <v>18.559999999999999</v>
      </c>
      <c r="H56" s="124">
        <f t="shared" si="106"/>
        <v>928</v>
      </c>
      <c r="I56" s="123">
        <f>RCFs!C$5</f>
        <v>18.559999999999999</v>
      </c>
      <c r="J56" s="111">
        <f t="shared" si="147"/>
        <v>1020.8</v>
      </c>
      <c r="K56" s="111">
        <f t="shared" si="147"/>
        <v>1271.4000000000001</v>
      </c>
      <c r="L56" s="111">
        <f t="shared" si="147"/>
        <v>1364.2</v>
      </c>
      <c r="M56" s="111">
        <f t="shared" si="147"/>
        <v>1503.4</v>
      </c>
      <c r="N56" s="111">
        <f t="shared" si="147"/>
        <v>1856</v>
      </c>
      <c r="O56" s="111">
        <f t="shared" si="147"/>
        <v>1995.2</v>
      </c>
      <c r="P56" s="111">
        <f t="shared" si="147"/>
        <v>2784</v>
      </c>
      <c r="Q56" s="42">
        <f t="shared" si="107"/>
        <v>965.1</v>
      </c>
      <c r="R56" s="125">
        <f>RCFs!C$7</f>
        <v>19.303333333333335</v>
      </c>
      <c r="S56" s="111">
        <f t="shared" si="123"/>
        <v>1254.5999999999999</v>
      </c>
      <c r="T56" s="111">
        <f t="shared" si="123"/>
        <v>1447.6</v>
      </c>
      <c r="U56" s="42">
        <f t="shared" si="108"/>
        <v>921.2</v>
      </c>
      <c r="V56" s="125">
        <f>RCFs!C$9</f>
        <v>18.422999999999998</v>
      </c>
      <c r="W56" s="42">
        <f t="shared" si="124"/>
        <v>921.2</v>
      </c>
      <c r="X56" s="125">
        <f t="shared" si="149"/>
        <v>18.422999999999998</v>
      </c>
      <c r="Y56" s="111">
        <f t="shared" si="73"/>
        <v>1013.3</v>
      </c>
      <c r="Z56" s="111">
        <f t="shared" si="148"/>
        <v>1262</v>
      </c>
      <c r="AA56" s="111">
        <f t="shared" si="148"/>
        <v>1492.3</v>
      </c>
      <c r="AB56" s="111">
        <f t="shared" si="148"/>
        <v>1354.1</v>
      </c>
      <c r="AC56" s="111">
        <f t="shared" si="148"/>
        <v>1998.9</v>
      </c>
      <c r="AD56" s="111">
        <f t="shared" si="148"/>
        <v>2763.5</v>
      </c>
      <c r="AE56" s="42">
        <f t="shared" si="126"/>
        <v>956.7</v>
      </c>
      <c r="AF56" s="125">
        <f>RCFs!C$13</f>
        <v>19.133333333333333</v>
      </c>
      <c r="AG56" s="110">
        <f t="shared" si="127"/>
        <v>1578.6</v>
      </c>
      <c r="AH56" s="110">
        <f t="shared" si="127"/>
        <v>2009.1</v>
      </c>
      <c r="AI56" s="110">
        <f t="shared" si="127"/>
        <v>2870.1</v>
      </c>
      <c r="AJ56" s="42">
        <f t="shared" si="111"/>
        <v>947.3</v>
      </c>
      <c r="AK56" s="125">
        <f>RCFs!C$25</f>
        <v>18.946666666666665</v>
      </c>
      <c r="AL56" s="42">
        <f t="shared" si="112"/>
        <v>1254.5999999999999</v>
      </c>
      <c r="AM56" s="125">
        <f>RCFs!C$29</f>
        <v>25.09333333333333</v>
      </c>
      <c r="AN56" s="42">
        <f t="shared" si="113"/>
        <v>1006</v>
      </c>
      <c r="AO56" s="125">
        <f>RCFs!C$33</f>
        <v>20.121274</v>
      </c>
      <c r="AP56" s="110">
        <f t="shared" si="114"/>
        <v>1509</v>
      </c>
      <c r="AQ56" s="124">
        <f t="shared" si="115"/>
        <v>1309.5</v>
      </c>
      <c r="AR56" s="125">
        <f>RCFs!C$35</f>
        <v>26.19</v>
      </c>
      <c r="AS56" s="110">
        <f t="shared" si="116"/>
        <v>1702.3</v>
      </c>
      <c r="AT56" s="110">
        <f t="shared" si="117"/>
        <v>37.9</v>
      </c>
      <c r="AU56" s="124">
        <f t="shared" si="118"/>
        <v>974.3</v>
      </c>
      <c r="AV56" s="124">
        <f>RCFs!C$37</f>
        <v>19.486666666666668</v>
      </c>
      <c r="AW56" s="124">
        <f t="shared" si="128"/>
        <v>991.3</v>
      </c>
      <c r="AX56" s="125">
        <f>RCFs!C$64</f>
        <v>19.826666666666664</v>
      </c>
      <c r="AY56" s="124">
        <f t="shared" si="119"/>
        <v>947.3</v>
      </c>
      <c r="AZ56" s="125">
        <f>RCFs!C$39</f>
        <v>18.946666666666665</v>
      </c>
      <c r="BA56" s="124">
        <f t="shared" si="120"/>
        <v>953.4</v>
      </c>
      <c r="BB56" s="125">
        <f>RCFs!C$41</f>
        <v>19.068114999999999</v>
      </c>
    </row>
    <row r="57" spans="1:54" s="67" customFormat="1" x14ac:dyDescent="0.3">
      <c r="A57" s="66">
        <v>1214</v>
      </c>
      <c r="B57" s="68" t="s">
        <v>183</v>
      </c>
      <c r="C57" s="46">
        <v>25</v>
      </c>
      <c r="D57" s="42">
        <f t="shared" si="121"/>
        <v>1881.7</v>
      </c>
      <c r="E57" s="123">
        <f>RCFs!C$43</f>
        <v>75.268515088574986</v>
      </c>
      <c r="F57" s="124">
        <f t="shared" si="105"/>
        <v>464</v>
      </c>
      <c r="G57" s="123">
        <f>RCFs!C$5</f>
        <v>18.559999999999999</v>
      </c>
      <c r="H57" s="124">
        <f t="shared" si="106"/>
        <v>464</v>
      </c>
      <c r="I57" s="123">
        <f>RCFs!C$5</f>
        <v>18.559999999999999</v>
      </c>
      <c r="J57" s="111">
        <f t="shared" si="147"/>
        <v>510.4</v>
      </c>
      <c r="K57" s="111">
        <f t="shared" si="147"/>
        <v>635.70000000000005</v>
      </c>
      <c r="L57" s="111">
        <f t="shared" si="147"/>
        <v>682.1</v>
      </c>
      <c r="M57" s="111">
        <f t="shared" si="147"/>
        <v>751.7</v>
      </c>
      <c r="N57" s="111">
        <f t="shared" si="147"/>
        <v>928</v>
      </c>
      <c r="O57" s="111">
        <f t="shared" si="147"/>
        <v>997.6</v>
      </c>
      <c r="P57" s="111">
        <f t="shared" si="147"/>
        <v>1392</v>
      </c>
      <c r="Q57" s="42">
        <f t="shared" si="107"/>
        <v>482.5</v>
      </c>
      <c r="R57" s="125">
        <f>RCFs!C$7</f>
        <v>19.303333333333335</v>
      </c>
      <c r="S57" s="111">
        <f t="shared" si="123"/>
        <v>627.20000000000005</v>
      </c>
      <c r="T57" s="111">
        <f t="shared" si="123"/>
        <v>723.7</v>
      </c>
      <c r="U57" s="42">
        <f t="shared" si="108"/>
        <v>460.6</v>
      </c>
      <c r="V57" s="125">
        <f>RCFs!C$9</f>
        <v>18.422999999999998</v>
      </c>
      <c r="W57" s="42">
        <f t="shared" si="124"/>
        <v>460.6</v>
      </c>
      <c r="X57" s="125">
        <f t="shared" si="149"/>
        <v>18.422999999999998</v>
      </c>
      <c r="Y57" s="111">
        <f t="shared" si="73"/>
        <v>506.6</v>
      </c>
      <c r="Z57" s="111">
        <f t="shared" si="148"/>
        <v>631</v>
      </c>
      <c r="AA57" s="111">
        <f t="shared" si="148"/>
        <v>746.1</v>
      </c>
      <c r="AB57" s="111">
        <f t="shared" si="148"/>
        <v>677</v>
      </c>
      <c r="AC57" s="111">
        <f t="shared" si="148"/>
        <v>999.4</v>
      </c>
      <c r="AD57" s="111">
        <f t="shared" si="148"/>
        <v>1381.7</v>
      </c>
      <c r="AE57" s="42">
        <f t="shared" si="126"/>
        <v>478.3</v>
      </c>
      <c r="AF57" s="125">
        <f>RCFs!C$13</f>
        <v>19.133333333333333</v>
      </c>
      <c r="AG57" s="110">
        <f t="shared" si="127"/>
        <v>789.2</v>
      </c>
      <c r="AH57" s="110">
        <f t="shared" si="127"/>
        <v>1004.4</v>
      </c>
      <c r="AI57" s="110">
        <f t="shared" si="127"/>
        <v>1434.9</v>
      </c>
      <c r="AJ57" s="42">
        <f t="shared" si="111"/>
        <v>473.6</v>
      </c>
      <c r="AK57" s="125">
        <f>RCFs!C$25</f>
        <v>18.946666666666665</v>
      </c>
      <c r="AL57" s="42">
        <f t="shared" si="112"/>
        <v>627.29999999999995</v>
      </c>
      <c r="AM57" s="125">
        <f>RCFs!C$29</f>
        <v>25.09333333333333</v>
      </c>
      <c r="AN57" s="42">
        <f t="shared" si="113"/>
        <v>503</v>
      </c>
      <c r="AO57" s="125">
        <f>RCFs!C$33</f>
        <v>20.121274</v>
      </c>
      <c r="AP57" s="110">
        <f t="shared" si="114"/>
        <v>754.5</v>
      </c>
      <c r="AQ57" s="124">
        <f t="shared" si="115"/>
        <v>654.70000000000005</v>
      </c>
      <c r="AR57" s="125">
        <f>RCFs!C$35</f>
        <v>26.19</v>
      </c>
      <c r="AS57" s="110">
        <f t="shared" si="116"/>
        <v>851.1</v>
      </c>
      <c r="AT57" s="110">
        <f t="shared" si="117"/>
        <v>37.9</v>
      </c>
      <c r="AU57" s="124">
        <f t="shared" si="118"/>
        <v>487.1</v>
      </c>
      <c r="AV57" s="124">
        <f>RCFs!C$37</f>
        <v>19.486666666666668</v>
      </c>
      <c r="AW57" s="124">
        <f t="shared" si="128"/>
        <v>495.6</v>
      </c>
      <c r="AX57" s="125">
        <f>RCFs!C$64</f>
        <v>19.826666666666664</v>
      </c>
      <c r="AY57" s="124">
        <f t="shared" si="119"/>
        <v>473.6</v>
      </c>
      <c r="AZ57" s="125">
        <f>RCFs!C$39</f>
        <v>18.946666666666665</v>
      </c>
      <c r="BA57" s="124">
        <f t="shared" si="120"/>
        <v>476.7</v>
      </c>
      <c r="BB57" s="125">
        <f>RCFs!C$41</f>
        <v>19.068114999999999</v>
      </c>
    </row>
    <row r="58" spans="1:54" s="67" customFormat="1" x14ac:dyDescent="0.3">
      <c r="A58" s="66">
        <v>1215</v>
      </c>
      <c r="B58" s="68" t="s">
        <v>243</v>
      </c>
      <c r="C58" s="46">
        <v>25</v>
      </c>
      <c r="D58" s="42">
        <f t="shared" ref="D58" si="150">ROUND(E58*C58,1)</f>
        <v>1881.7</v>
      </c>
      <c r="E58" s="123">
        <f>RCFs!C$43</f>
        <v>75.268515088574986</v>
      </c>
      <c r="F58" s="124">
        <f t="shared" ref="F58" si="151">ROUNDDOWN($C58*G58,1)</f>
        <v>464</v>
      </c>
      <c r="G58" s="123">
        <f>RCFs!C$5</f>
        <v>18.559999999999999</v>
      </c>
      <c r="H58" s="124">
        <f t="shared" ref="H58" si="152">ROUNDDOWN($C58*I58,1)</f>
        <v>464</v>
      </c>
      <c r="I58" s="123">
        <f>RCFs!C$5</f>
        <v>18.559999999999999</v>
      </c>
      <c r="J58" s="111">
        <f t="shared" si="147"/>
        <v>510.4</v>
      </c>
      <c r="K58" s="111">
        <f t="shared" si="147"/>
        <v>635.70000000000005</v>
      </c>
      <c r="L58" s="111">
        <f t="shared" si="147"/>
        <v>682.1</v>
      </c>
      <c r="M58" s="111">
        <f t="shared" si="147"/>
        <v>751.7</v>
      </c>
      <c r="N58" s="111">
        <f t="shared" si="147"/>
        <v>928</v>
      </c>
      <c r="O58" s="111">
        <f t="shared" si="147"/>
        <v>997.6</v>
      </c>
      <c r="P58" s="111">
        <f t="shared" si="147"/>
        <v>1392</v>
      </c>
      <c r="Q58" s="42">
        <f t="shared" ref="Q58" si="153">ROUNDDOWN(R58*C58,1)</f>
        <v>482.5</v>
      </c>
      <c r="R58" s="125">
        <f>RCFs!C$7</f>
        <v>19.303333333333335</v>
      </c>
      <c r="S58" s="111">
        <f t="shared" si="123"/>
        <v>627.20000000000005</v>
      </c>
      <c r="T58" s="111">
        <f t="shared" si="123"/>
        <v>723.7</v>
      </c>
      <c r="U58" s="42">
        <f t="shared" ref="U58" si="154">ROUND(V58*C58,1)</f>
        <v>460.6</v>
      </c>
      <c r="V58" s="125">
        <f>RCFs!C$9</f>
        <v>18.422999999999998</v>
      </c>
      <c r="W58" s="42">
        <f t="shared" ref="W58" si="155">ROUND(X58*C58,1)</f>
        <v>460.6</v>
      </c>
      <c r="X58" s="125">
        <f t="shared" ref="X58" si="156">V58</f>
        <v>18.422999999999998</v>
      </c>
      <c r="Y58" s="111">
        <f t="shared" si="73"/>
        <v>506.6</v>
      </c>
      <c r="Z58" s="111">
        <f t="shared" si="148"/>
        <v>631</v>
      </c>
      <c r="AA58" s="111">
        <f t="shared" si="148"/>
        <v>746.1</v>
      </c>
      <c r="AB58" s="111">
        <f t="shared" si="148"/>
        <v>677</v>
      </c>
      <c r="AC58" s="111">
        <f t="shared" si="148"/>
        <v>999.4</v>
      </c>
      <c r="AD58" s="111">
        <f t="shared" si="148"/>
        <v>1381.7</v>
      </c>
      <c r="AE58" s="42">
        <f t="shared" ref="AE58" si="157">ROUND(AF58*C58,1)</f>
        <v>478.3</v>
      </c>
      <c r="AF58" s="125">
        <f>RCFs!C$13</f>
        <v>19.133333333333333</v>
      </c>
      <c r="AG58" s="110">
        <f t="shared" si="127"/>
        <v>789.2</v>
      </c>
      <c r="AH58" s="110">
        <f t="shared" si="127"/>
        <v>1004.4</v>
      </c>
      <c r="AI58" s="110">
        <f t="shared" si="127"/>
        <v>1434.9</v>
      </c>
      <c r="AJ58" s="42">
        <f t="shared" ref="AJ58" si="158">ROUNDDOWN(C58*AK58,1)</f>
        <v>473.6</v>
      </c>
      <c r="AK58" s="125">
        <f>RCFs!C$25</f>
        <v>18.946666666666665</v>
      </c>
      <c r="AL58" s="42">
        <f t="shared" ref="AL58" si="159">ROUNDDOWN(C58*AM58,1)</f>
        <v>627.29999999999995</v>
      </c>
      <c r="AM58" s="125">
        <f>RCFs!C$29</f>
        <v>25.09333333333333</v>
      </c>
      <c r="AN58" s="42">
        <f t="shared" ref="AN58" si="160">ROUNDDOWN(C58*AO58,1)</f>
        <v>503</v>
      </c>
      <c r="AO58" s="125">
        <f>RCFs!C$33</f>
        <v>20.121274</v>
      </c>
      <c r="AP58" s="110">
        <f t="shared" ref="AP58" si="161">ROUNDDOWN(AN58*AP$6,1)</f>
        <v>754.5</v>
      </c>
      <c r="AQ58" s="124">
        <f t="shared" ref="AQ58" si="162">ROUNDDOWN($C58*AR58,1)</f>
        <v>654.70000000000005</v>
      </c>
      <c r="AR58" s="125">
        <f>RCFs!C$35</f>
        <v>26.19</v>
      </c>
      <c r="AS58" s="110">
        <f t="shared" ref="AS58" si="163">ROUNDDOWN(AQ58*AS$6,1)</f>
        <v>851.1</v>
      </c>
      <c r="AT58" s="110">
        <f t="shared" ref="AT58" si="164">ROUNDDOWN(AR58*AT$6,1)</f>
        <v>37.9</v>
      </c>
      <c r="AU58" s="124">
        <f t="shared" ref="AU58" si="165">ROUNDDOWN($C58*AV58,1)</f>
        <v>487.1</v>
      </c>
      <c r="AV58" s="124">
        <f>RCFs!C$37</f>
        <v>19.486666666666668</v>
      </c>
      <c r="AW58" s="124">
        <f t="shared" ref="AW58" si="166">ROUNDDOWN(AX58*C58,1)</f>
        <v>495.6</v>
      </c>
      <c r="AX58" s="125">
        <f>RCFs!C$64</f>
        <v>19.826666666666664</v>
      </c>
      <c r="AY58" s="124">
        <f t="shared" ref="AY58" si="167">ROUNDDOWN($C58*AZ58,1)</f>
        <v>473.6</v>
      </c>
      <c r="AZ58" s="125">
        <f>RCFs!C$39</f>
        <v>18.946666666666665</v>
      </c>
      <c r="BA58" s="124">
        <f t="shared" ref="BA58" si="168">ROUNDDOWN($C58*BB58,1)</f>
        <v>476.7</v>
      </c>
      <c r="BB58" s="125">
        <f>RCFs!C$41</f>
        <v>19.068114999999999</v>
      </c>
    </row>
    <row r="59" spans="1:54" s="67" customFormat="1" x14ac:dyDescent="0.3">
      <c r="A59" s="66">
        <v>1218</v>
      </c>
      <c r="B59" s="68" t="s">
        <v>244</v>
      </c>
      <c r="C59" s="46">
        <v>25</v>
      </c>
      <c r="D59" s="42">
        <f t="shared" ref="D59" si="169">ROUND(E59*C59,1)</f>
        <v>1881.7</v>
      </c>
      <c r="E59" s="123">
        <f>RCFs!C$43</f>
        <v>75.268515088574986</v>
      </c>
      <c r="F59" s="124">
        <f t="shared" ref="F59" si="170">ROUNDDOWN($C59*G59,1)</f>
        <v>464</v>
      </c>
      <c r="G59" s="123">
        <f>RCFs!C$5</f>
        <v>18.559999999999999</v>
      </c>
      <c r="H59" s="124">
        <f t="shared" ref="H59" si="171">ROUNDDOWN($C59*I59,1)</f>
        <v>464</v>
      </c>
      <c r="I59" s="123">
        <f>RCFs!C$5</f>
        <v>18.559999999999999</v>
      </c>
      <c r="J59" s="111">
        <f t="shared" si="147"/>
        <v>510.4</v>
      </c>
      <c r="K59" s="111">
        <f t="shared" si="147"/>
        <v>635.70000000000005</v>
      </c>
      <c r="L59" s="111">
        <f t="shared" si="147"/>
        <v>682.1</v>
      </c>
      <c r="M59" s="111">
        <f t="shared" si="147"/>
        <v>751.7</v>
      </c>
      <c r="N59" s="111">
        <f t="shared" si="147"/>
        <v>928</v>
      </c>
      <c r="O59" s="111">
        <f t="shared" si="147"/>
        <v>997.6</v>
      </c>
      <c r="P59" s="111">
        <f t="shared" si="147"/>
        <v>1392</v>
      </c>
      <c r="Q59" s="42">
        <f t="shared" ref="Q59" si="172">ROUNDDOWN(R59*C59,1)</f>
        <v>482.5</v>
      </c>
      <c r="R59" s="125">
        <f>RCFs!C$7</f>
        <v>19.303333333333335</v>
      </c>
      <c r="S59" s="111">
        <f t="shared" si="123"/>
        <v>627.20000000000005</v>
      </c>
      <c r="T59" s="111">
        <f t="shared" si="123"/>
        <v>723.7</v>
      </c>
      <c r="U59" s="42">
        <f t="shared" ref="U59" si="173">ROUND(V59*C59,1)</f>
        <v>460.6</v>
      </c>
      <c r="V59" s="125">
        <f>RCFs!C$9</f>
        <v>18.422999999999998</v>
      </c>
      <c r="W59" s="42">
        <f t="shared" ref="W59" si="174">ROUND(X59*C59,1)</f>
        <v>460.6</v>
      </c>
      <c r="X59" s="125">
        <f t="shared" ref="X59" si="175">V59</f>
        <v>18.422999999999998</v>
      </c>
      <c r="Y59" s="111">
        <f t="shared" si="73"/>
        <v>506.6</v>
      </c>
      <c r="Z59" s="111">
        <f t="shared" si="148"/>
        <v>631</v>
      </c>
      <c r="AA59" s="111">
        <f t="shared" si="148"/>
        <v>746.1</v>
      </c>
      <c r="AB59" s="111">
        <f t="shared" si="148"/>
        <v>677</v>
      </c>
      <c r="AC59" s="111">
        <f t="shared" si="148"/>
        <v>999.4</v>
      </c>
      <c r="AD59" s="111">
        <f t="shared" si="148"/>
        <v>1381.7</v>
      </c>
      <c r="AE59" s="42">
        <f t="shared" ref="AE59" si="176">ROUND(AF59*C59,1)</f>
        <v>478.3</v>
      </c>
      <c r="AF59" s="125">
        <f>RCFs!C$13</f>
        <v>19.133333333333333</v>
      </c>
      <c r="AG59" s="110">
        <f t="shared" si="127"/>
        <v>789.2</v>
      </c>
      <c r="AH59" s="110">
        <f t="shared" si="127"/>
        <v>1004.4</v>
      </c>
      <c r="AI59" s="110">
        <f t="shared" si="127"/>
        <v>1434.9</v>
      </c>
      <c r="AJ59" s="42">
        <f t="shared" ref="AJ59" si="177">ROUNDDOWN(C59*AK59,1)</f>
        <v>473.6</v>
      </c>
      <c r="AK59" s="125">
        <f>RCFs!C$25</f>
        <v>18.946666666666665</v>
      </c>
      <c r="AL59" s="42">
        <f t="shared" ref="AL59" si="178">ROUNDDOWN(C59*AM59,1)</f>
        <v>627.29999999999995</v>
      </c>
      <c r="AM59" s="125">
        <f>RCFs!C$29</f>
        <v>25.09333333333333</v>
      </c>
      <c r="AN59" s="42">
        <f t="shared" ref="AN59" si="179">ROUNDDOWN(C59*AO59,1)</f>
        <v>503</v>
      </c>
      <c r="AO59" s="125">
        <f>RCFs!C$33</f>
        <v>20.121274</v>
      </c>
      <c r="AP59" s="110">
        <f t="shared" ref="AP59" si="180">ROUNDDOWN(AN59*AP$6,1)</f>
        <v>754.5</v>
      </c>
      <c r="AQ59" s="124">
        <f t="shared" ref="AQ59" si="181">ROUNDDOWN($C59*AR59,1)</f>
        <v>654.70000000000005</v>
      </c>
      <c r="AR59" s="125">
        <f>RCFs!C$35</f>
        <v>26.19</v>
      </c>
      <c r="AS59" s="110">
        <f t="shared" ref="AS59" si="182">ROUNDDOWN(AQ59*AS$6,1)</f>
        <v>851.1</v>
      </c>
      <c r="AT59" s="110">
        <f t="shared" ref="AT59" si="183">ROUNDDOWN(AR59*AT$6,1)</f>
        <v>37.9</v>
      </c>
      <c r="AU59" s="124">
        <f t="shared" ref="AU59" si="184">ROUNDDOWN($C59*AV59,1)</f>
        <v>487.1</v>
      </c>
      <c r="AV59" s="124">
        <f>RCFs!C$37</f>
        <v>19.486666666666668</v>
      </c>
      <c r="AW59" s="124">
        <f t="shared" ref="AW59" si="185">ROUNDDOWN(AX59*C59,1)</f>
        <v>495.6</v>
      </c>
      <c r="AX59" s="125">
        <f>RCFs!C$64</f>
        <v>19.826666666666664</v>
      </c>
      <c r="AY59" s="124">
        <f t="shared" ref="AY59" si="186">ROUNDDOWN($C59*AZ59,1)</f>
        <v>473.6</v>
      </c>
      <c r="AZ59" s="125">
        <f>RCFs!C$39</f>
        <v>18.946666666666665</v>
      </c>
      <c r="BA59" s="124">
        <f t="shared" ref="BA59" si="187">ROUNDDOWN($C59*BB59,1)</f>
        <v>476.7</v>
      </c>
      <c r="BB59" s="125">
        <f>RCFs!C$41</f>
        <v>19.068114999999999</v>
      </c>
    </row>
    <row r="60" spans="1:54" s="67" customFormat="1" x14ac:dyDescent="0.3">
      <c r="A60" s="66">
        <v>1219</v>
      </c>
      <c r="B60" s="68" t="s">
        <v>184</v>
      </c>
      <c r="C60" s="46">
        <v>15</v>
      </c>
      <c r="D60" s="42">
        <f t="shared" si="121"/>
        <v>1129</v>
      </c>
      <c r="E60" s="123">
        <f>RCFs!C$43</f>
        <v>75.268515088574986</v>
      </c>
      <c r="F60" s="124">
        <f t="shared" si="105"/>
        <v>278.39999999999998</v>
      </c>
      <c r="G60" s="123">
        <f>RCFs!C$5</f>
        <v>18.559999999999999</v>
      </c>
      <c r="H60" s="124">
        <f t="shared" si="106"/>
        <v>278.39999999999998</v>
      </c>
      <c r="I60" s="123">
        <f>RCFs!C$5</f>
        <v>18.559999999999999</v>
      </c>
      <c r="J60" s="111">
        <f t="shared" si="147"/>
        <v>306.2</v>
      </c>
      <c r="K60" s="111">
        <f t="shared" si="147"/>
        <v>381.4</v>
      </c>
      <c r="L60" s="111">
        <f t="shared" si="147"/>
        <v>409.2</v>
      </c>
      <c r="M60" s="111">
        <f t="shared" si="147"/>
        <v>451</v>
      </c>
      <c r="N60" s="111">
        <f t="shared" si="147"/>
        <v>556.79999999999995</v>
      </c>
      <c r="O60" s="111">
        <f t="shared" si="147"/>
        <v>598.6</v>
      </c>
      <c r="P60" s="111">
        <f t="shared" si="147"/>
        <v>835.2</v>
      </c>
      <c r="Q60" s="42">
        <f t="shared" si="107"/>
        <v>289.5</v>
      </c>
      <c r="R60" s="125">
        <f>RCFs!C$7</f>
        <v>19.303333333333335</v>
      </c>
      <c r="S60" s="111">
        <f t="shared" si="123"/>
        <v>376.3</v>
      </c>
      <c r="T60" s="111">
        <f t="shared" si="123"/>
        <v>434.2</v>
      </c>
      <c r="U60" s="42">
        <f t="shared" si="108"/>
        <v>276.3</v>
      </c>
      <c r="V60" s="125">
        <f>RCFs!C$9</f>
        <v>18.422999999999998</v>
      </c>
      <c r="W60" s="42">
        <f t="shared" si="124"/>
        <v>276.3</v>
      </c>
      <c r="X60" s="125">
        <f t="shared" si="149"/>
        <v>18.422999999999998</v>
      </c>
      <c r="Y60" s="111">
        <f t="shared" si="73"/>
        <v>303.89999999999998</v>
      </c>
      <c r="Z60" s="111">
        <f t="shared" si="148"/>
        <v>378.6</v>
      </c>
      <c r="AA60" s="111">
        <f t="shared" si="148"/>
        <v>447.7</v>
      </c>
      <c r="AB60" s="111">
        <f t="shared" si="148"/>
        <v>406.2</v>
      </c>
      <c r="AC60" s="111">
        <f t="shared" si="148"/>
        <v>599.70000000000005</v>
      </c>
      <c r="AD60" s="111">
        <f t="shared" si="148"/>
        <v>829</v>
      </c>
      <c r="AE60" s="42">
        <f t="shared" si="126"/>
        <v>287</v>
      </c>
      <c r="AF60" s="125">
        <f>RCFs!C$13</f>
        <v>19.133333333333333</v>
      </c>
      <c r="AG60" s="110">
        <f t="shared" si="127"/>
        <v>473.6</v>
      </c>
      <c r="AH60" s="110">
        <f t="shared" si="127"/>
        <v>602.70000000000005</v>
      </c>
      <c r="AI60" s="110">
        <f t="shared" si="127"/>
        <v>861</v>
      </c>
      <c r="AJ60" s="42">
        <f t="shared" si="111"/>
        <v>284.2</v>
      </c>
      <c r="AK60" s="125">
        <f>RCFs!C$25</f>
        <v>18.946666666666665</v>
      </c>
      <c r="AL60" s="42">
        <f t="shared" si="112"/>
        <v>376.4</v>
      </c>
      <c r="AM60" s="125">
        <f>RCFs!C$29</f>
        <v>25.09333333333333</v>
      </c>
      <c r="AN60" s="42">
        <f t="shared" si="113"/>
        <v>301.8</v>
      </c>
      <c r="AO60" s="125">
        <f>RCFs!C$33</f>
        <v>20.121274</v>
      </c>
      <c r="AP60" s="110">
        <f t="shared" si="114"/>
        <v>452.7</v>
      </c>
      <c r="AQ60" s="124">
        <f t="shared" si="115"/>
        <v>392.8</v>
      </c>
      <c r="AR60" s="125">
        <f>RCFs!C$35</f>
        <v>26.19</v>
      </c>
      <c r="AS60" s="110">
        <f t="shared" si="116"/>
        <v>510.6</v>
      </c>
      <c r="AT60" s="110">
        <f t="shared" si="117"/>
        <v>37.9</v>
      </c>
      <c r="AU60" s="124">
        <f t="shared" si="118"/>
        <v>292.3</v>
      </c>
      <c r="AV60" s="124">
        <f>RCFs!C$37</f>
        <v>19.486666666666668</v>
      </c>
      <c r="AW60" s="124">
        <f t="shared" si="128"/>
        <v>297.39999999999998</v>
      </c>
      <c r="AX60" s="125">
        <f>RCFs!C$64</f>
        <v>19.826666666666664</v>
      </c>
      <c r="AY60" s="124">
        <f t="shared" si="119"/>
        <v>284.2</v>
      </c>
      <c r="AZ60" s="125">
        <f>RCFs!C$39</f>
        <v>18.946666666666665</v>
      </c>
      <c r="BA60" s="124">
        <f t="shared" si="120"/>
        <v>286</v>
      </c>
      <c r="BB60" s="125">
        <f>RCFs!C$41</f>
        <v>19.068114999999999</v>
      </c>
    </row>
    <row r="61" spans="1:54" s="67" customFormat="1" x14ac:dyDescent="0.3">
      <c r="A61" s="66">
        <v>1230</v>
      </c>
      <c r="B61" s="68" t="s">
        <v>185</v>
      </c>
      <c r="C61" s="46">
        <v>6</v>
      </c>
      <c r="D61" s="42">
        <f t="shared" si="121"/>
        <v>451.6</v>
      </c>
      <c r="E61" s="123">
        <f>RCFs!C$43</f>
        <v>75.268515088574986</v>
      </c>
      <c r="F61" s="124">
        <f t="shared" si="105"/>
        <v>111.3</v>
      </c>
      <c r="G61" s="123">
        <f>RCFs!C$5</f>
        <v>18.559999999999999</v>
      </c>
      <c r="H61" s="124">
        <f t="shared" si="106"/>
        <v>111.3</v>
      </c>
      <c r="I61" s="123">
        <f>RCFs!C$5</f>
        <v>18.559999999999999</v>
      </c>
      <c r="J61" s="111">
        <f t="shared" si="147"/>
        <v>122.5</v>
      </c>
      <c r="K61" s="111">
        <f t="shared" si="147"/>
        <v>152.6</v>
      </c>
      <c r="L61" s="111">
        <f t="shared" si="147"/>
        <v>163.69999999999999</v>
      </c>
      <c r="M61" s="111">
        <f t="shared" si="147"/>
        <v>180.4</v>
      </c>
      <c r="N61" s="111">
        <f t="shared" si="147"/>
        <v>222.7</v>
      </c>
      <c r="O61" s="111">
        <f t="shared" si="147"/>
        <v>239.4</v>
      </c>
      <c r="P61" s="111">
        <f t="shared" si="147"/>
        <v>334.1</v>
      </c>
      <c r="Q61" s="42">
        <f t="shared" si="107"/>
        <v>115.8</v>
      </c>
      <c r="R61" s="125">
        <f>RCFs!C$7</f>
        <v>19.303333333333335</v>
      </c>
      <c r="S61" s="111">
        <f t="shared" si="123"/>
        <v>150.5</v>
      </c>
      <c r="T61" s="111">
        <f t="shared" si="123"/>
        <v>173.7</v>
      </c>
      <c r="U61" s="42">
        <f t="shared" si="108"/>
        <v>110.5</v>
      </c>
      <c r="V61" s="125">
        <f>RCFs!C$9</f>
        <v>18.422999999999998</v>
      </c>
      <c r="W61" s="42">
        <f t="shared" si="124"/>
        <v>110.5</v>
      </c>
      <c r="X61" s="125">
        <f t="shared" si="149"/>
        <v>18.422999999999998</v>
      </c>
      <c r="Y61" s="111">
        <f t="shared" si="73"/>
        <v>121.5</v>
      </c>
      <c r="Z61" s="111">
        <f t="shared" si="148"/>
        <v>151.4</v>
      </c>
      <c r="AA61" s="111">
        <f t="shared" si="148"/>
        <v>179.1</v>
      </c>
      <c r="AB61" s="111">
        <f t="shared" si="148"/>
        <v>162.5</v>
      </c>
      <c r="AC61" s="111">
        <f t="shared" si="148"/>
        <v>239.9</v>
      </c>
      <c r="AD61" s="111">
        <f t="shared" si="148"/>
        <v>331.6</v>
      </c>
      <c r="AE61" s="42">
        <f t="shared" si="126"/>
        <v>114.8</v>
      </c>
      <c r="AF61" s="125">
        <f>RCFs!C$13</f>
        <v>19.133333333333333</v>
      </c>
      <c r="AG61" s="110">
        <f t="shared" si="127"/>
        <v>189.4</v>
      </c>
      <c r="AH61" s="110">
        <f t="shared" si="127"/>
        <v>241.1</v>
      </c>
      <c r="AI61" s="110">
        <f t="shared" si="127"/>
        <v>344.4</v>
      </c>
      <c r="AJ61" s="42">
        <f t="shared" si="111"/>
        <v>113.6</v>
      </c>
      <c r="AK61" s="125">
        <f>RCFs!C$25</f>
        <v>18.946666666666665</v>
      </c>
      <c r="AL61" s="42">
        <f t="shared" si="112"/>
        <v>150.5</v>
      </c>
      <c r="AM61" s="125">
        <f>RCFs!C$29</f>
        <v>25.09333333333333</v>
      </c>
      <c r="AN61" s="42">
        <f t="shared" si="113"/>
        <v>120.7</v>
      </c>
      <c r="AO61" s="125">
        <f>RCFs!C$33</f>
        <v>20.121274</v>
      </c>
      <c r="AP61" s="110">
        <f t="shared" si="114"/>
        <v>181</v>
      </c>
      <c r="AQ61" s="124">
        <f t="shared" si="115"/>
        <v>157.1</v>
      </c>
      <c r="AR61" s="125">
        <f>RCFs!C$35</f>
        <v>26.19</v>
      </c>
      <c r="AS61" s="110">
        <f t="shared" si="116"/>
        <v>204.2</v>
      </c>
      <c r="AT61" s="110">
        <f t="shared" si="117"/>
        <v>37.9</v>
      </c>
      <c r="AU61" s="124">
        <f t="shared" si="118"/>
        <v>116.9</v>
      </c>
      <c r="AV61" s="124">
        <f>RCFs!C$37</f>
        <v>19.486666666666668</v>
      </c>
      <c r="AW61" s="124">
        <f t="shared" si="128"/>
        <v>118.9</v>
      </c>
      <c r="AX61" s="125">
        <f>RCFs!C$64</f>
        <v>19.826666666666664</v>
      </c>
      <c r="AY61" s="124">
        <f t="shared" si="119"/>
        <v>113.6</v>
      </c>
      <c r="AZ61" s="125">
        <f>RCFs!C$39</f>
        <v>18.946666666666665</v>
      </c>
      <c r="BA61" s="124">
        <f t="shared" si="120"/>
        <v>114.4</v>
      </c>
      <c r="BB61" s="125">
        <f>RCFs!C$41</f>
        <v>19.068114999999999</v>
      </c>
    </row>
    <row r="62" spans="1:54" s="67" customFormat="1" x14ac:dyDescent="0.3">
      <c r="A62" s="69" t="s">
        <v>205</v>
      </c>
      <c r="B62" s="68" t="s">
        <v>46</v>
      </c>
      <c r="C62" s="46">
        <v>9</v>
      </c>
      <c r="D62" s="70">
        <f t="shared" si="121"/>
        <v>171.6</v>
      </c>
      <c r="E62" s="71">
        <f>BB62</f>
        <v>19.068114999999999</v>
      </c>
      <c r="F62" s="124">
        <f t="shared" si="105"/>
        <v>167</v>
      </c>
      <c r="G62" s="123">
        <f>RCFs!C$5</f>
        <v>18.559999999999999</v>
      </c>
      <c r="H62" s="124">
        <f t="shared" si="106"/>
        <v>167</v>
      </c>
      <c r="I62" s="123">
        <f>RCFs!C$5</f>
        <v>18.559999999999999</v>
      </c>
      <c r="J62" s="111">
        <f t="shared" si="147"/>
        <v>183.7</v>
      </c>
      <c r="K62" s="111">
        <f t="shared" si="147"/>
        <v>228.8</v>
      </c>
      <c r="L62" s="111">
        <f t="shared" si="147"/>
        <v>245.5</v>
      </c>
      <c r="M62" s="111">
        <f t="shared" si="147"/>
        <v>270.60000000000002</v>
      </c>
      <c r="N62" s="111">
        <f t="shared" si="147"/>
        <v>334.1</v>
      </c>
      <c r="O62" s="111">
        <f t="shared" si="147"/>
        <v>359.1</v>
      </c>
      <c r="P62" s="111">
        <f t="shared" si="147"/>
        <v>501.1</v>
      </c>
      <c r="Q62" s="42">
        <f t="shared" si="107"/>
        <v>173.7</v>
      </c>
      <c r="R62" s="125">
        <f>RCFs!C$7</f>
        <v>19.303333333333335</v>
      </c>
      <c r="S62" s="111">
        <f t="shared" si="123"/>
        <v>225.8</v>
      </c>
      <c r="T62" s="111">
        <f t="shared" si="123"/>
        <v>260.5</v>
      </c>
      <c r="U62" s="42">
        <f t="shared" si="108"/>
        <v>165.8</v>
      </c>
      <c r="V62" s="125">
        <f>RCFs!C$9</f>
        <v>18.422999999999998</v>
      </c>
      <c r="W62" s="42">
        <f t="shared" si="124"/>
        <v>165.8</v>
      </c>
      <c r="X62" s="125">
        <f t="shared" si="149"/>
        <v>18.422999999999998</v>
      </c>
      <c r="Y62" s="111">
        <f t="shared" si="73"/>
        <v>182.3</v>
      </c>
      <c r="Z62" s="111">
        <f t="shared" si="148"/>
        <v>227.2</v>
      </c>
      <c r="AA62" s="111">
        <f t="shared" si="148"/>
        <v>268.60000000000002</v>
      </c>
      <c r="AB62" s="111">
        <f t="shared" si="148"/>
        <v>243.7</v>
      </c>
      <c r="AC62" s="111">
        <f t="shared" si="148"/>
        <v>359.8</v>
      </c>
      <c r="AD62" s="111">
        <f t="shared" si="148"/>
        <v>497.4</v>
      </c>
      <c r="AE62" s="42">
        <f t="shared" si="126"/>
        <v>172.2</v>
      </c>
      <c r="AF62" s="125">
        <f>RCFs!C$13</f>
        <v>19.133333333333333</v>
      </c>
      <c r="AG62" s="110">
        <f t="shared" si="127"/>
        <v>284.10000000000002</v>
      </c>
      <c r="AH62" s="110">
        <f t="shared" si="127"/>
        <v>361.6</v>
      </c>
      <c r="AI62" s="110">
        <f t="shared" si="127"/>
        <v>516.6</v>
      </c>
      <c r="AJ62" s="42">
        <f t="shared" si="111"/>
        <v>170.5</v>
      </c>
      <c r="AK62" s="125">
        <f>RCFs!C$25</f>
        <v>18.946666666666665</v>
      </c>
      <c r="AL62" s="42">
        <f t="shared" si="112"/>
        <v>225.8</v>
      </c>
      <c r="AM62" s="125">
        <f>RCFs!C$29</f>
        <v>25.09333333333333</v>
      </c>
      <c r="AN62" s="42">
        <f t="shared" si="113"/>
        <v>181</v>
      </c>
      <c r="AO62" s="125">
        <f>RCFs!C$33</f>
        <v>20.121274</v>
      </c>
      <c r="AP62" s="110">
        <f t="shared" si="114"/>
        <v>271.5</v>
      </c>
      <c r="AQ62" s="124">
        <f t="shared" si="115"/>
        <v>235.7</v>
      </c>
      <c r="AR62" s="125">
        <f>RCFs!C$35</f>
        <v>26.19</v>
      </c>
      <c r="AS62" s="110">
        <f t="shared" si="116"/>
        <v>306.39999999999998</v>
      </c>
      <c r="AT62" s="110">
        <f t="shared" si="117"/>
        <v>37.9</v>
      </c>
      <c r="AU62" s="124">
        <f t="shared" si="118"/>
        <v>175.3</v>
      </c>
      <c r="AV62" s="124">
        <f>RCFs!C$37</f>
        <v>19.486666666666668</v>
      </c>
      <c r="AW62" s="124">
        <f t="shared" si="128"/>
        <v>178.4</v>
      </c>
      <c r="AX62" s="125">
        <f>RCFs!C$64</f>
        <v>19.826666666666664</v>
      </c>
      <c r="AY62" s="124">
        <f t="shared" si="119"/>
        <v>170.5</v>
      </c>
      <c r="AZ62" s="125">
        <f>RCFs!C$39</f>
        <v>18.946666666666665</v>
      </c>
      <c r="BA62" s="124">
        <f t="shared" si="120"/>
        <v>171.6</v>
      </c>
      <c r="BB62" s="125">
        <f>RCFs!C$41</f>
        <v>19.068114999999999</v>
      </c>
    </row>
    <row r="63" spans="1:54" s="67" customFormat="1" ht="27.6" x14ac:dyDescent="0.3">
      <c r="A63" s="69">
        <v>1234</v>
      </c>
      <c r="B63" s="68" t="s">
        <v>245</v>
      </c>
      <c r="C63" s="46">
        <v>40</v>
      </c>
      <c r="D63" s="70">
        <f t="shared" ref="D63" si="188">ROUND(E63*C63,1)</f>
        <v>762.7</v>
      </c>
      <c r="E63" s="71">
        <f>BB63</f>
        <v>19.068114999999999</v>
      </c>
      <c r="F63" s="124">
        <f t="shared" ref="F63" si="189">ROUNDDOWN($C63*G63,1)</f>
        <v>742.4</v>
      </c>
      <c r="G63" s="123">
        <f>RCFs!C$5</f>
        <v>18.559999999999999</v>
      </c>
      <c r="H63" s="124">
        <f t="shared" ref="H63" si="190">ROUNDDOWN($C63*I63,1)</f>
        <v>742.4</v>
      </c>
      <c r="I63" s="123">
        <f>RCFs!C$5</f>
        <v>18.559999999999999</v>
      </c>
      <c r="J63" s="111">
        <f t="shared" si="147"/>
        <v>816.6</v>
      </c>
      <c r="K63" s="111">
        <f t="shared" si="147"/>
        <v>1017.1</v>
      </c>
      <c r="L63" s="111">
        <f t="shared" si="147"/>
        <v>1091.3</v>
      </c>
      <c r="M63" s="111">
        <f t="shared" si="147"/>
        <v>1202.7</v>
      </c>
      <c r="N63" s="111">
        <f t="shared" si="147"/>
        <v>1484.8</v>
      </c>
      <c r="O63" s="111">
        <f t="shared" si="147"/>
        <v>1596.2</v>
      </c>
      <c r="P63" s="111">
        <f t="shared" si="147"/>
        <v>2227.1999999999998</v>
      </c>
      <c r="Q63" s="42">
        <f t="shared" ref="Q63" si="191">ROUNDDOWN(R63*C63,1)</f>
        <v>772.1</v>
      </c>
      <c r="R63" s="125">
        <f>RCFs!C$7</f>
        <v>19.303333333333335</v>
      </c>
      <c r="S63" s="111">
        <f t="shared" si="123"/>
        <v>1003.7</v>
      </c>
      <c r="T63" s="111">
        <f t="shared" si="123"/>
        <v>1158.0999999999999</v>
      </c>
      <c r="U63" s="42">
        <f t="shared" ref="U63" si="192">ROUND(V63*C63,1)</f>
        <v>736.9</v>
      </c>
      <c r="V63" s="125">
        <f>RCFs!C$9</f>
        <v>18.422999999999998</v>
      </c>
      <c r="W63" s="42">
        <f t="shared" ref="W63" si="193">ROUND(X63*C63,1)</f>
        <v>736.9</v>
      </c>
      <c r="X63" s="125">
        <f t="shared" ref="X63" si="194">V63</f>
        <v>18.422999999999998</v>
      </c>
      <c r="Y63" s="111">
        <f t="shared" si="73"/>
        <v>810.5</v>
      </c>
      <c r="Z63" s="111">
        <f t="shared" si="148"/>
        <v>1009.6</v>
      </c>
      <c r="AA63" s="111">
        <f t="shared" si="148"/>
        <v>1193.8</v>
      </c>
      <c r="AB63" s="111">
        <f t="shared" si="148"/>
        <v>1083.3</v>
      </c>
      <c r="AC63" s="111">
        <f t="shared" si="148"/>
        <v>1599.1</v>
      </c>
      <c r="AD63" s="111">
        <f t="shared" si="148"/>
        <v>2210.8000000000002</v>
      </c>
      <c r="AE63" s="42">
        <f t="shared" ref="AE63" si="195">ROUND(AF63*C63,1)</f>
        <v>765.3</v>
      </c>
      <c r="AF63" s="125">
        <f>RCFs!C$13</f>
        <v>19.133333333333333</v>
      </c>
      <c r="AG63" s="110">
        <f t="shared" si="127"/>
        <v>1262.7</v>
      </c>
      <c r="AH63" s="110">
        <f t="shared" si="127"/>
        <v>1607.1</v>
      </c>
      <c r="AI63" s="110">
        <f t="shared" si="127"/>
        <v>2295.9</v>
      </c>
      <c r="AJ63" s="42">
        <f t="shared" ref="AJ63" si="196">ROUNDDOWN(C63*AK63,1)</f>
        <v>757.8</v>
      </c>
      <c r="AK63" s="125">
        <f>RCFs!C$25</f>
        <v>18.946666666666665</v>
      </c>
      <c r="AL63" s="42">
        <f t="shared" ref="AL63" si="197">ROUNDDOWN(C63*AM63,1)</f>
        <v>1003.7</v>
      </c>
      <c r="AM63" s="125">
        <f>RCFs!C$29</f>
        <v>25.09333333333333</v>
      </c>
      <c r="AN63" s="42">
        <f t="shared" ref="AN63" si="198">ROUNDDOWN(C63*AO63,1)</f>
        <v>804.8</v>
      </c>
      <c r="AO63" s="125">
        <f>RCFs!C$33</f>
        <v>20.121274</v>
      </c>
      <c r="AP63" s="110">
        <f t="shared" ref="AP63" si="199">ROUNDDOWN(AN63*AP$6,1)</f>
        <v>1207.2</v>
      </c>
      <c r="AQ63" s="124">
        <f t="shared" ref="AQ63" si="200">ROUNDDOWN($C63*AR63,1)</f>
        <v>1047.5999999999999</v>
      </c>
      <c r="AR63" s="125">
        <f>RCFs!C$35</f>
        <v>26.19</v>
      </c>
      <c r="AS63" s="110">
        <f t="shared" ref="AS63" si="201">ROUNDDOWN(AQ63*AS$6,1)</f>
        <v>1361.8</v>
      </c>
      <c r="AT63" s="110">
        <f t="shared" ref="AT63" si="202">ROUNDDOWN(AR63*AT$6,1)</f>
        <v>37.9</v>
      </c>
      <c r="AU63" s="124">
        <f t="shared" ref="AU63" si="203">ROUNDDOWN($C63*AV63,1)</f>
        <v>779.4</v>
      </c>
      <c r="AV63" s="124">
        <f>RCFs!C$37</f>
        <v>19.486666666666668</v>
      </c>
      <c r="AW63" s="124">
        <f t="shared" ref="AW63" si="204">ROUNDDOWN(AX63*C63,1)</f>
        <v>793</v>
      </c>
      <c r="AX63" s="125">
        <f>RCFs!C$64</f>
        <v>19.826666666666664</v>
      </c>
      <c r="AY63" s="124">
        <f t="shared" ref="AY63" si="205">ROUNDDOWN($C63*AZ63,1)</f>
        <v>757.8</v>
      </c>
      <c r="AZ63" s="125">
        <f>RCFs!C$39</f>
        <v>18.946666666666665</v>
      </c>
      <c r="BA63" s="124">
        <f t="shared" ref="BA63" si="206">ROUNDDOWN($C63*BB63,1)</f>
        <v>762.7</v>
      </c>
      <c r="BB63" s="125">
        <f>RCFs!C$41</f>
        <v>19.068114999999999</v>
      </c>
    </row>
    <row r="64" spans="1:54" s="67" customFormat="1" x14ac:dyDescent="0.3">
      <c r="A64" s="69" t="s">
        <v>206</v>
      </c>
      <c r="B64" s="68" t="s">
        <v>47</v>
      </c>
      <c r="C64" s="46">
        <v>60</v>
      </c>
      <c r="D64" s="70">
        <f t="shared" si="121"/>
        <v>1144.0999999999999</v>
      </c>
      <c r="E64" s="71">
        <f>BB64</f>
        <v>19.068114999999999</v>
      </c>
      <c r="F64" s="124">
        <f t="shared" si="105"/>
        <v>1113.5999999999999</v>
      </c>
      <c r="G64" s="123">
        <f>RCFs!C$5</f>
        <v>18.559999999999999</v>
      </c>
      <c r="H64" s="124">
        <f t="shared" si="106"/>
        <v>1113.5999999999999</v>
      </c>
      <c r="I64" s="123">
        <f>RCFs!C$5</f>
        <v>18.559999999999999</v>
      </c>
      <c r="J64" s="111">
        <f t="shared" si="147"/>
        <v>1225</v>
      </c>
      <c r="K64" s="111">
        <f t="shared" si="147"/>
        <v>1525.6</v>
      </c>
      <c r="L64" s="111">
        <f t="shared" si="147"/>
        <v>1637</v>
      </c>
      <c r="M64" s="111">
        <f t="shared" si="147"/>
        <v>1804</v>
      </c>
      <c r="N64" s="111">
        <f t="shared" si="147"/>
        <v>2227.1999999999998</v>
      </c>
      <c r="O64" s="111">
        <f t="shared" si="147"/>
        <v>2394.1999999999998</v>
      </c>
      <c r="P64" s="111">
        <f t="shared" si="147"/>
        <v>3340.8</v>
      </c>
      <c r="Q64" s="42">
        <f t="shared" si="107"/>
        <v>1158.2</v>
      </c>
      <c r="R64" s="125">
        <f>RCFs!C$7</f>
        <v>19.303333333333335</v>
      </c>
      <c r="S64" s="111">
        <f t="shared" si="123"/>
        <v>1505.6</v>
      </c>
      <c r="T64" s="111">
        <f t="shared" si="123"/>
        <v>1737.3</v>
      </c>
      <c r="U64" s="42">
        <f t="shared" si="108"/>
        <v>1105.4000000000001</v>
      </c>
      <c r="V64" s="125">
        <f>RCFs!C$9</f>
        <v>18.422999999999998</v>
      </c>
      <c r="W64" s="42">
        <f t="shared" si="124"/>
        <v>1105.4000000000001</v>
      </c>
      <c r="X64" s="125">
        <f t="shared" si="149"/>
        <v>18.422999999999998</v>
      </c>
      <c r="Y64" s="111">
        <f t="shared" si="73"/>
        <v>1215.9000000000001</v>
      </c>
      <c r="Z64" s="111">
        <f t="shared" si="148"/>
        <v>1514.4</v>
      </c>
      <c r="AA64" s="111">
        <f t="shared" si="148"/>
        <v>1790.7</v>
      </c>
      <c r="AB64" s="111">
        <f t="shared" si="148"/>
        <v>1624.9</v>
      </c>
      <c r="AC64" s="111">
        <f t="shared" si="148"/>
        <v>2398.6999999999998</v>
      </c>
      <c r="AD64" s="111">
        <f t="shared" si="148"/>
        <v>3316.1</v>
      </c>
      <c r="AE64" s="42">
        <f t="shared" si="126"/>
        <v>1148</v>
      </c>
      <c r="AF64" s="125">
        <f>RCFs!C$13</f>
        <v>19.133333333333333</v>
      </c>
      <c r="AG64" s="110">
        <f t="shared" si="127"/>
        <v>1894.2</v>
      </c>
      <c r="AH64" s="110">
        <f t="shared" si="127"/>
        <v>2410.8000000000002</v>
      </c>
      <c r="AI64" s="110">
        <f t="shared" si="127"/>
        <v>3444</v>
      </c>
      <c r="AJ64" s="42">
        <f t="shared" si="111"/>
        <v>1136.8</v>
      </c>
      <c r="AK64" s="125">
        <f>RCFs!C$25</f>
        <v>18.946666666666665</v>
      </c>
      <c r="AL64" s="42">
        <f t="shared" si="112"/>
        <v>1505.6</v>
      </c>
      <c r="AM64" s="125">
        <f>RCFs!C$29</f>
        <v>25.09333333333333</v>
      </c>
      <c r="AN64" s="42">
        <f t="shared" si="113"/>
        <v>1207.2</v>
      </c>
      <c r="AO64" s="125">
        <f>RCFs!C$33</f>
        <v>20.121274</v>
      </c>
      <c r="AP64" s="110">
        <f t="shared" si="114"/>
        <v>1810.8</v>
      </c>
      <c r="AQ64" s="124">
        <f t="shared" si="115"/>
        <v>1571.4</v>
      </c>
      <c r="AR64" s="125">
        <f>RCFs!C$35</f>
        <v>26.19</v>
      </c>
      <c r="AS64" s="110">
        <f t="shared" si="116"/>
        <v>2042.8</v>
      </c>
      <c r="AT64" s="110">
        <f t="shared" si="117"/>
        <v>37.9</v>
      </c>
      <c r="AU64" s="124">
        <f t="shared" si="118"/>
        <v>1169.2</v>
      </c>
      <c r="AV64" s="124">
        <f>RCFs!C$37</f>
        <v>19.486666666666668</v>
      </c>
      <c r="AW64" s="124">
        <f t="shared" si="128"/>
        <v>1189.5999999999999</v>
      </c>
      <c r="AX64" s="125">
        <f>RCFs!C$64</f>
        <v>19.826666666666664</v>
      </c>
      <c r="AY64" s="124">
        <f t="shared" si="119"/>
        <v>1136.8</v>
      </c>
      <c r="AZ64" s="125">
        <f>RCFs!C$39</f>
        <v>18.946666666666665</v>
      </c>
      <c r="BA64" s="124">
        <f t="shared" si="120"/>
        <v>1144</v>
      </c>
      <c r="BB64" s="125">
        <f>RCFs!C$41</f>
        <v>19.068114999999999</v>
      </c>
    </row>
    <row r="65" spans="1:54" s="67" customFormat="1" x14ac:dyDescent="0.3">
      <c r="A65" s="69">
        <v>1237</v>
      </c>
      <c r="B65" s="68" t="s">
        <v>246</v>
      </c>
      <c r="C65" s="46">
        <v>30</v>
      </c>
      <c r="D65" s="70">
        <f t="shared" ref="D65" si="207">ROUND(E65*C65,1)</f>
        <v>572</v>
      </c>
      <c r="E65" s="71">
        <f>BB65</f>
        <v>19.068114999999999</v>
      </c>
      <c r="F65" s="124">
        <f t="shared" ref="F65" si="208">ROUNDDOWN($C65*G65,1)</f>
        <v>556.79999999999995</v>
      </c>
      <c r="G65" s="123">
        <f>RCFs!C$5</f>
        <v>18.559999999999999</v>
      </c>
      <c r="H65" s="124">
        <f t="shared" ref="H65" si="209">ROUNDDOWN($C65*I65,1)</f>
        <v>556.79999999999995</v>
      </c>
      <c r="I65" s="123">
        <f>RCFs!C$5</f>
        <v>18.559999999999999</v>
      </c>
      <c r="J65" s="111">
        <f t="shared" si="147"/>
        <v>612.5</v>
      </c>
      <c r="K65" s="111">
        <f t="shared" si="147"/>
        <v>762.8</v>
      </c>
      <c r="L65" s="111">
        <f t="shared" si="147"/>
        <v>818.5</v>
      </c>
      <c r="M65" s="111">
        <f t="shared" si="147"/>
        <v>902</v>
      </c>
      <c r="N65" s="111">
        <f t="shared" si="147"/>
        <v>1113.5999999999999</v>
      </c>
      <c r="O65" s="111">
        <f t="shared" si="147"/>
        <v>1197.0999999999999</v>
      </c>
      <c r="P65" s="111">
        <f t="shared" si="147"/>
        <v>1670.4</v>
      </c>
      <c r="Q65" s="42">
        <f t="shared" ref="Q65" si="210">ROUNDDOWN(R65*C65,1)</f>
        <v>579.1</v>
      </c>
      <c r="R65" s="125">
        <f>RCFs!C$7</f>
        <v>19.303333333333335</v>
      </c>
      <c r="S65" s="111">
        <f t="shared" si="123"/>
        <v>752.8</v>
      </c>
      <c r="T65" s="111">
        <f t="shared" si="123"/>
        <v>868.6</v>
      </c>
      <c r="U65" s="42">
        <f t="shared" ref="U65" si="211">ROUND(V65*C65,1)</f>
        <v>552.70000000000005</v>
      </c>
      <c r="V65" s="125">
        <f>RCFs!C$9</f>
        <v>18.422999999999998</v>
      </c>
      <c r="W65" s="42">
        <f t="shared" ref="W65" si="212">ROUND(X65*C65,1)</f>
        <v>552.70000000000005</v>
      </c>
      <c r="X65" s="125">
        <f t="shared" ref="X65" si="213">V65</f>
        <v>18.422999999999998</v>
      </c>
      <c r="Y65" s="111">
        <f t="shared" si="73"/>
        <v>607.9</v>
      </c>
      <c r="Z65" s="111">
        <f t="shared" si="148"/>
        <v>757.2</v>
      </c>
      <c r="AA65" s="111">
        <f t="shared" si="148"/>
        <v>895.4</v>
      </c>
      <c r="AB65" s="111">
        <f t="shared" si="148"/>
        <v>812.5</v>
      </c>
      <c r="AC65" s="111">
        <f t="shared" si="148"/>
        <v>1199.3</v>
      </c>
      <c r="AD65" s="111">
        <f t="shared" si="148"/>
        <v>1658.1</v>
      </c>
      <c r="AE65" s="42">
        <f t="shared" ref="AE65" si="214">ROUND(AF65*C65,1)</f>
        <v>574</v>
      </c>
      <c r="AF65" s="125">
        <f>RCFs!C$13</f>
        <v>19.133333333333333</v>
      </c>
      <c r="AG65" s="110">
        <f t="shared" si="127"/>
        <v>947.1</v>
      </c>
      <c r="AH65" s="110">
        <f t="shared" si="127"/>
        <v>1205.4000000000001</v>
      </c>
      <c r="AI65" s="110">
        <f t="shared" si="127"/>
        <v>1722</v>
      </c>
      <c r="AJ65" s="42">
        <f t="shared" ref="AJ65" si="215">ROUNDDOWN(C65*AK65,1)</f>
        <v>568.4</v>
      </c>
      <c r="AK65" s="125">
        <f>RCFs!C$25</f>
        <v>18.946666666666665</v>
      </c>
      <c r="AL65" s="42">
        <f t="shared" ref="AL65" si="216">ROUNDDOWN(C65*AM65,1)</f>
        <v>752.8</v>
      </c>
      <c r="AM65" s="125">
        <f>RCFs!C$29</f>
        <v>25.09333333333333</v>
      </c>
      <c r="AN65" s="42">
        <f t="shared" ref="AN65" si="217">ROUNDDOWN(C65*AO65,1)</f>
        <v>603.6</v>
      </c>
      <c r="AO65" s="125">
        <f>RCFs!C$33</f>
        <v>20.121274</v>
      </c>
      <c r="AP65" s="110">
        <f t="shared" ref="AP65" si="218">ROUNDDOWN(AN65*AP$6,1)</f>
        <v>905.4</v>
      </c>
      <c r="AQ65" s="124">
        <f t="shared" ref="AQ65" si="219">ROUNDDOWN($C65*AR65,1)</f>
        <v>785.7</v>
      </c>
      <c r="AR65" s="125">
        <f>RCFs!C$35</f>
        <v>26.19</v>
      </c>
      <c r="AS65" s="110">
        <f t="shared" ref="AS65" si="220">ROUNDDOWN(AQ65*AS$6,1)</f>
        <v>1021.4</v>
      </c>
      <c r="AT65" s="110">
        <f t="shared" ref="AT65" si="221">ROUNDDOWN(AR65*AT$6,1)</f>
        <v>37.9</v>
      </c>
      <c r="AU65" s="124">
        <f t="shared" ref="AU65" si="222">ROUNDDOWN($C65*AV65,1)</f>
        <v>584.6</v>
      </c>
      <c r="AV65" s="124">
        <f>RCFs!C$37</f>
        <v>19.486666666666668</v>
      </c>
      <c r="AW65" s="124">
        <f t="shared" ref="AW65" si="223">ROUNDDOWN(AX65*C65,1)</f>
        <v>594.79999999999995</v>
      </c>
      <c r="AX65" s="125">
        <f>RCFs!C$64</f>
        <v>19.826666666666664</v>
      </c>
      <c r="AY65" s="124">
        <f t="shared" ref="AY65" si="224">ROUNDDOWN($C65*AZ65,1)</f>
        <v>568.4</v>
      </c>
      <c r="AZ65" s="125">
        <f>RCFs!C$39</f>
        <v>18.946666666666665</v>
      </c>
      <c r="BA65" s="124">
        <f t="shared" ref="BA65" si="225">ROUNDDOWN($C65*BB65,1)</f>
        <v>572</v>
      </c>
      <c r="BB65" s="125">
        <f>RCFs!C$41</f>
        <v>19.068114999999999</v>
      </c>
    </row>
    <row r="66" spans="1:54" s="67" customFormat="1" x14ac:dyDescent="0.3">
      <c r="A66" s="69">
        <v>1238</v>
      </c>
      <c r="B66" s="68" t="s">
        <v>186</v>
      </c>
      <c r="C66" s="46">
        <v>55</v>
      </c>
      <c r="D66" s="70">
        <f t="shared" si="121"/>
        <v>1048.7</v>
      </c>
      <c r="E66" s="71">
        <f>BB66</f>
        <v>19.068114999999999</v>
      </c>
      <c r="F66" s="124">
        <f t="shared" si="105"/>
        <v>1020.8</v>
      </c>
      <c r="G66" s="123">
        <f>RCFs!C$5</f>
        <v>18.559999999999999</v>
      </c>
      <c r="H66" s="124">
        <f t="shared" si="106"/>
        <v>1020.8</v>
      </c>
      <c r="I66" s="123">
        <f>RCFs!C$5</f>
        <v>18.559999999999999</v>
      </c>
      <c r="J66" s="111">
        <f t="shared" si="147"/>
        <v>1122.9000000000001</v>
      </c>
      <c r="K66" s="111">
        <f t="shared" si="147"/>
        <v>1398.5</v>
      </c>
      <c r="L66" s="111">
        <f t="shared" si="147"/>
        <v>1500.6</v>
      </c>
      <c r="M66" s="111">
        <f t="shared" si="147"/>
        <v>1653.7</v>
      </c>
      <c r="N66" s="111">
        <f t="shared" si="147"/>
        <v>2041.6</v>
      </c>
      <c r="O66" s="111">
        <f t="shared" si="147"/>
        <v>2194.6999999999998</v>
      </c>
      <c r="P66" s="111">
        <f t="shared" si="147"/>
        <v>3062.4</v>
      </c>
      <c r="Q66" s="42">
        <f t="shared" si="107"/>
        <v>1061.5999999999999</v>
      </c>
      <c r="R66" s="125">
        <f>RCFs!C$7</f>
        <v>19.303333333333335</v>
      </c>
      <c r="S66" s="111">
        <f t="shared" si="123"/>
        <v>1380</v>
      </c>
      <c r="T66" s="111">
        <f t="shared" si="123"/>
        <v>1592.4</v>
      </c>
      <c r="U66" s="42">
        <f t="shared" si="108"/>
        <v>1013.3</v>
      </c>
      <c r="V66" s="125">
        <f>RCFs!C$9</f>
        <v>18.422999999999998</v>
      </c>
      <c r="W66" s="42">
        <f t="shared" si="124"/>
        <v>1013.3</v>
      </c>
      <c r="X66" s="125">
        <f t="shared" si="149"/>
        <v>18.422999999999998</v>
      </c>
      <c r="Y66" s="111">
        <f t="shared" si="73"/>
        <v>1114.5999999999999</v>
      </c>
      <c r="Z66" s="111">
        <f t="shared" si="148"/>
        <v>1388.2</v>
      </c>
      <c r="AA66" s="111">
        <f t="shared" si="148"/>
        <v>1641.5</v>
      </c>
      <c r="AB66" s="111">
        <f t="shared" si="148"/>
        <v>1489.5</v>
      </c>
      <c r="AC66" s="111">
        <f t="shared" si="148"/>
        <v>2198.8000000000002</v>
      </c>
      <c r="AD66" s="111">
        <f t="shared" si="148"/>
        <v>3039.8</v>
      </c>
      <c r="AE66" s="42">
        <f t="shared" si="126"/>
        <v>1052.3</v>
      </c>
      <c r="AF66" s="125">
        <f>RCFs!C$13</f>
        <v>19.133333333333333</v>
      </c>
      <c r="AG66" s="110">
        <f t="shared" si="127"/>
        <v>1736.3</v>
      </c>
      <c r="AH66" s="110">
        <f t="shared" si="127"/>
        <v>2209.8000000000002</v>
      </c>
      <c r="AI66" s="110">
        <f t="shared" si="127"/>
        <v>3156.9</v>
      </c>
      <c r="AJ66" s="42">
        <f t="shared" si="111"/>
        <v>1042</v>
      </c>
      <c r="AK66" s="125">
        <f>RCFs!C$25</f>
        <v>18.946666666666665</v>
      </c>
      <c r="AL66" s="42">
        <f t="shared" si="112"/>
        <v>1380.1</v>
      </c>
      <c r="AM66" s="125">
        <f>RCFs!C$29</f>
        <v>25.09333333333333</v>
      </c>
      <c r="AN66" s="42">
        <f t="shared" si="113"/>
        <v>1106.5999999999999</v>
      </c>
      <c r="AO66" s="125">
        <f>RCFs!C$33</f>
        <v>20.121274</v>
      </c>
      <c r="AP66" s="110">
        <f t="shared" si="114"/>
        <v>1659.9</v>
      </c>
      <c r="AQ66" s="124">
        <f t="shared" si="115"/>
        <v>1440.4</v>
      </c>
      <c r="AR66" s="125">
        <f>RCFs!C$35</f>
        <v>26.19</v>
      </c>
      <c r="AS66" s="110">
        <f t="shared" si="116"/>
        <v>1872.5</v>
      </c>
      <c r="AT66" s="110">
        <f t="shared" si="117"/>
        <v>37.9</v>
      </c>
      <c r="AU66" s="124">
        <f t="shared" si="118"/>
        <v>1071.7</v>
      </c>
      <c r="AV66" s="124">
        <f>RCFs!C$37</f>
        <v>19.486666666666668</v>
      </c>
      <c r="AW66" s="124">
        <f t="shared" si="128"/>
        <v>1090.4000000000001</v>
      </c>
      <c r="AX66" s="125">
        <f>RCFs!C$64</f>
        <v>19.826666666666664</v>
      </c>
      <c r="AY66" s="124">
        <f t="shared" si="119"/>
        <v>1042</v>
      </c>
      <c r="AZ66" s="125">
        <f>RCFs!C$39</f>
        <v>18.946666666666665</v>
      </c>
      <c r="BA66" s="124">
        <f t="shared" si="120"/>
        <v>1048.7</v>
      </c>
      <c r="BB66" s="125">
        <f>RCFs!C$41</f>
        <v>19.068114999999999</v>
      </c>
    </row>
    <row r="67" spans="1:54" s="67" customFormat="1" x14ac:dyDescent="0.3">
      <c r="A67" s="66">
        <v>1239</v>
      </c>
      <c r="B67" s="68" t="s">
        <v>187</v>
      </c>
      <c r="C67" s="46">
        <v>27</v>
      </c>
      <c r="D67" s="42">
        <f t="shared" si="121"/>
        <v>2032.2</v>
      </c>
      <c r="E67" s="123">
        <f>RCFs!C$43</f>
        <v>75.268515088574986</v>
      </c>
      <c r="F67" s="124">
        <f t="shared" si="105"/>
        <v>501.1</v>
      </c>
      <c r="G67" s="123">
        <f>RCFs!C$5</f>
        <v>18.559999999999999</v>
      </c>
      <c r="H67" s="124">
        <f t="shared" si="106"/>
        <v>501.1</v>
      </c>
      <c r="I67" s="123">
        <f>RCFs!C$5</f>
        <v>18.559999999999999</v>
      </c>
      <c r="J67" s="111">
        <f t="shared" si="147"/>
        <v>551.20000000000005</v>
      </c>
      <c r="K67" s="111">
        <f t="shared" si="147"/>
        <v>686.5</v>
      </c>
      <c r="L67" s="111">
        <f t="shared" si="147"/>
        <v>736.6</v>
      </c>
      <c r="M67" s="111">
        <f t="shared" si="147"/>
        <v>811.8</v>
      </c>
      <c r="N67" s="111">
        <f t="shared" si="147"/>
        <v>1002.2</v>
      </c>
      <c r="O67" s="111">
        <f t="shared" si="147"/>
        <v>1077.4000000000001</v>
      </c>
      <c r="P67" s="111">
        <f t="shared" si="147"/>
        <v>1503.4</v>
      </c>
      <c r="Q67" s="42">
        <f t="shared" si="107"/>
        <v>521.1</v>
      </c>
      <c r="R67" s="125">
        <f>RCFs!C$7</f>
        <v>19.303333333333335</v>
      </c>
      <c r="S67" s="111">
        <f t="shared" si="123"/>
        <v>677.4</v>
      </c>
      <c r="T67" s="111">
        <f t="shared" si="123"/>
        <v>781.6</v>
      </c>
      <c r="U67" s="42">
        <f t="shared" si="108"/>
        <v>497.4</v>
      </c>
      <c r="V67" s="125">
        <f>RCFs!C$9</f>
        <v>18.422999999999998</v>
      </c>
      <c r="W67" s="42">
        <f t="shared" si="124"/>
        <v>497.4</v>
      </c>
      <c r="X67" s="125">
        <f t="shared" si="149"/>
        <v>18.422999999999998</v>
      </c>
      <c r="Y67" s="111">
        <f t="shared" si="73"/>
        <v>547.1</v>
      </c>
      <c r="Z67" s="111">
        <f t="shared" si="148"/>
        <v>681.5</v>
      </c>
      <c r="AA67" s="111">
        <f t="shared" si="148"/>
        <v>805.8</v>
      </c>
      <c r="AB67" s="111">
        <f t="shared" si="148"/>
        <v>731.2</v>
      </c>
      <c r="AC67" s="111">
        <f t="shared" si="148"/>
        <v>1079.4000000000001</v>
      </c>
      <c r="AD67" s="111">
        <f t="shared" si="148"/>
        <v>1492.3</v>
      </c>
      <c r="AE67" s="42">
        <f t="shared" si="126"/>
        <v>516.6</v>
      </c>
      <c r="AF67" s="125">
        <f>RCFs!C$13</f>
        <v>19.133333333333333</v>
      </c>
      <c r="AG67" s="110">
        <f t="shared" si="127"/>
        <v>852.4</v>
      </c>
      <c r="AH67" s="110">
        <f t="shared" si="127"/>
        <v>1084.9000000000001</v>
      </c>
      <c r="AI67" s="110">
        <f t="shared" si="127"/>
        <v>1549.8</v>
      </c>
      <c r="AJ67" s="42">
        <f t="shared" si="111"/>
        <v>511.5</v>
      </c>
      <c r="AK67" s="125">
        <f>RCFs!C$25</f>
        <v>18.946666666666665</v>
      </c>
      <c r="AL67" s="42">
        <f t="shared" si="112"/>
        <v>677.5</v>
      </c>
      <c r="AM67" s="125">
        <f>RCFs!C$29</f>
        <v>25.09333333333333</v>
      </c>
      <c r="AN67" s="42">
        <f t="shared" si="113"/>
        <v>543.20000000000005</v>
      </c>
      <c r="AO67" s="125">
        <f>RCFs!C$33</f>
        <v>20.121274</v>
      </c>
      <c r="AP67" s="110">
        <f t="shared" si="114"/>
        <v>814.8</v>
      </c>
      <c r="AQ67" s="124">
        <f t="shared" si="115"/>
        <v>707.1</v>
      </c>
      <c r="AR67" s="125">
        <f>RCFs!C$35</f>
        <v>26.19</v>
      </c>
      <c r="AS67" s="110">
        <f t="shared" si="116"/>
        <v>919.2</v>
      </c>
      <c r="AT67" s="110">
        <f t="shared" si="117"/>
        <v>37.9</v>
      </c>
      <c r="AU67" s="124">
        <f t="shared" si="118"/>
        <v>526.1</v>
      </c>
      <c r="AV67" s="124">
        <f>RCFs!C$37</f>
        <v>19.486666666666668</v>
      </c>
      <c r="AW67" s="124">
        <f t="shared" si="128"/>
        <v>535.29999999999995</v>
      </c>
      <c r="AX67" s="125">
        <f>RCFs!C$64</f>
        <v>19.826666666666664</v>
      </c>
      <c r="AY67" s="124">
        <f t="shared" si="119"/>
        <v>511.5</v>
      </c>
      <c r="AZ67" s="125">
        <f>RCFs!C$39</f>
        <v>18.946666666666665</v>
      </c>
      <c r="BA67" s="124">
        <f t="shared" si="120"/>
        <v>514.79999999999995</v>
      </c>
      <c r="BB67" s="125">
        <f>RCFs!C$41</f>
        <v>19.068114999999999</v>
      </c>
    </row>
    <row r="68" spans="1:54" s="67" customFormat="1" x14ac:dyDescent="0.3">
      <c r="A68" s="66">
        <v>1247</v>
      </c>
      <c r="B68" s="68" t="s">
        <v>247</v>
      </c>
      <c r="C68" s="46">
        <v>65</v>
      </c>
      <c r="D68" s="42">
        <f t="shared" ref="D68" si="226">ROUND(E68*C68,1)</f>
        <v>4892.5</v>
      </c>
      <c r="E68" s="123">
        <f>RCFs!C$43</f>
        <v>75.268515088574986</v>
      </c>
      <c r="F68" s="124">
        <f t="shared" ref="F68" si="227">ROUNDDOWN($C68*G68,1)</f>
        <v>1206.4000000000001</v>
      </c>
      <c r="G68" s="123">
        <f>RCFs!C$5</f>
        <v>18.559999999999999</v>
      </c>
      <c r="H68" s="124">
        <f t="shared" ref="H68" si="228">ROUNDDOWN($C68*I68,1)</f>
        <v>1206.4000000000001</v>
      </c>
      <c r="I68" s="123">
        <f>RCFs!C$5</f>
        <v>18.559999999999999</v>
      </c>
      <c r="J68" s="111">
        <f t="shared" si="147"/>
        <v>1327</v>
      </c>
      <c r="K68" s="111">
        <f t="shared" si="147"/>
        <v>1652.8</v>
      </c>
      <c r="L68" s="111">
        <f t="shared" si="147"/>
        <v>1773.4</v>
      </c>
      <c r="M68" s="111">
        <f t="shared" si="147"/>
        <v>1954.4</v>
      </c>
      <c r="N68" s="111">
        <f t="shared" si="147"/>
        <v>2412.8000000000002</v>
      </c>
      <c r="O68" s="111">
        <f t="shared" si="147"/>
        <v>2593.8000000000002</v>
      </c>
      <c r="P68" s="111">
        <f t="shared" si="147"/>
        <v>3619.2</v>
      </c>
      <c r="Q68" s="42">
        <f t="shared" ref="Q68" si="229">ROUNDDOWN(R68*C68,1)</f>
        <v>1254.7</v>
      </c>
      <c r="R68" s="125">
        <f>RCFs!C$7</f>
        <v>19.303333333333335</v>
      </c>
      <c r="S68" s="111">
        <f t="shared" si="123"/>
        <v>1631.1</v>
      </c>
      <c r="T68" s="111">
        <f t="shared" si="123"/>
        <v>1882</v>
      </c>
      <c r="U68" s="42">
        <f t="shared" ref="U68" si="230">ROUND(V68*C68,1)</f>
        <v>1197.5</v>
      </c>
      <c r="V68" s="125">
        <f>RCFs!C$9</f>
        <v>18.422999999999998</v>
      </c>
      <c r="W68" s="42">
        <f t="shared" ref="W68" si="231">ROUND(X68*C68,1)</f>
        <v>1197.5</v>
      </c>
      <c r="X68" s="125">
        <f t="shared" ref="X68" si="232">V68</f>
        <v>18.422999999999998</v>
      </c>
      <c r="Y68" s="111">
        <f t="shared" si="73"/>
        <v>1317.2</v>
      </c>
      <c r="Z68" s="111">
        <f t="shared" si="148"/>
        <v>1640.6</v>
      </c>
      <c r="AA68" s="111">
        <f t="shared" si="148"/>
        <v>1939.9</v>
      </c>
      <c r="AB68" s="111">
        <f t="shared" si="148"/>
        <v>1760.3</v>
      </c>
      <c r="AC68" s="111">
        <f t="shared" si="148"/>
        <v>2598.6</v>
      </c>
      <c r="AD68" s="111">
        <f t="shared" si="148"/>
        <v>3592.5</v>
      </c>
      <c r="AE68" s="42">
        <f t="shared" ref="AE68" si="233">ROUND(AF68*C68,1)</f>
        <v>1243.7</v>
      </c>
      <c r="AF68" s="125">
        <f>RCFs!C$13</f>
        <v>19.133333333333333</v>
      </c>
      <c r="AG68" s="110">
        <f t="shared" si="127"/>
        <v>2052.1</v>
      </c>
      <c r="AH68" s="110">
        <f t="shared" si="127"/>
        <v>2611.8000000000002</v>
      </c>
      <c r="AI68" s="110">
        <f t="shared" si="127"/>
        <v>3731.1</v>
      </c>
      <c r="AJ68" s="42">
        <f t="shared" ref="AJ68" si="234">ROUNDDOWN(C68*AK68,1)</f>
        <v>1231.5</v>
      </c>
      <c r="AK68" s="125">
        <f>RCFs!C$25</f>
        <v>18.946666666666665</v>
      </c>
      <c r="AL68" s="42">
        <f t="shared" ref="AL68" si="235">ROUNDDOWN(C68*AM68,1)</f>
        <v>1631</v>
      </c>
      <c r="AM68" s="125">
        <f>RCFs!C$29</f>
        <v>25.09333333333333</v>
      </c>
      <c r="AN68" s="42">
        <f t="shared" ref="AN68" si="236">ROUNDDOWN(C68*AO68,1)</f>
        <v>1307.8</v>
      </c>
      <c r="AO68" s="125">
        <f>RCFs!C$33</f>
        <v>20.121274</v>
      </c>
      <c r="AP68" s="110">
        <f t="shared" ref="AP68" si="237">ROUNDDOWN(AN68*AP$6,1)</f>
        <v>1961.7</v>
      </c>
      <c r="AQ68" s="124">
        <f t="shared" ref="AQ68" si="238">ROUNDDOWN($C68*AR68,1)</f>
        <v>1702.3</v>
      </c>
      <c r="AR68" s="125">
        <f>RCFs!C$35</f>
        <v>26.19</v>
      </c>
      <c r="AS68" s="110">
        <f t="shared" ref="AS68" si="239">ROUNDDOWN(AQ68*AS$6,1)</f>
        <v>2212.9</v>
      </c>
      <c r="AT68" s="110">
        <f t="shared" ref="AT68" si="240">ROUNDDOWN(AR68*AT$6,1)</f>
        <v>37.9</v>
      </c>
      <c r="AU68" s="124">
        <f t="shared" ref="AU68" si="241">ROUNDDOWN($C68*AV68,1)</f>
        <v>1266.5999999999999</v>
      </c>
      <c r="AV68" s="124">
        <f>RCFs!C$37</f>
        <v>19.486666666666668</v>
      </c>
      <c r="AW68" s="124">
        <f t="shared" ref="AW68" si="242">ROUNDDOWN(AX68*C68,1)</f>
        <v>1288.7</v>
      </c>
      <c r="AX68" s="125">
        <f>RCFs!C$64</f>
        <v>19.826666666666664</v>
      </c>
      <c r="AY68" s="124">
        <f t="shared" ref="AY68" si="243">ROUNDDOWN($C68*AZ68,1)</f>
        <v>1231.5</v>
      </c>
      <c r="AZ68" s="125">
        <f>RCFs!C$39</f>
        <v>18.946666666666665</v>
      </c>
      <c r="BA68" s="124">
        <f t="shared" ref="BA68" si="244">ROUNDDOWN($C68*BB68,1)</f>
        <v>1239.4000000000001</v>
      </c>
      <c r="BB68" s="125">
        <f>RCFs!C$41</f>
        <v>19.068114999999999</v>
      </c>
    </row>
    <row r="69" spans="1:54" s="67" customFormat="1" ht="27.6" x14ac:dyDescent="0.3">
      <c r="A69" s="66">
        <v>1249</v>
      </c>
      <c r="B69" s="68" t="s">
        <v>248</v>
      </c>
      <c r="C69" s="46">
        <v>140</v>
      </c>
      <c r="D69" s="42">
        <f t="shared" ref="D69" si="245">ROUND(E69*C69,1)</f>
        <v>10537.6</v>
      </c>
      <c r="E69" s="123">
        <f>RCFs!C$43</f>
        <v>75.268515088574986</v>
      </c>
      <c r="F69" s="124">
        <f t="shared" ref="F69" si="246">ROUNDDOWN($C69*G69,1)</f>
        <v>2598.4</v>
      </c>
      <c r="G69" s="123">
        <f>RCFs!C$5</f>
        <v>18.559999999999999</v>
      </c>
      <c r="H69" s="124">
        <f t="shared" ref="H69" si="247">ROUNDDOWN($C69*I69,1)</f>
        <v>2598.4</v>
      </c>
      <c r="I69" s="123">
        <f>RCFs!C$5</f>
        <v>18.559999999999999</v>
      </c>
      <c r="J69" s="111">
        <f t="shared" si="147"/>
        <v>2858.2</v>
      </c>
      <c r="K69" s="111">
        <f t="shared" si="147"/>
        <v>3559.8</v>
      </c>
      <c r="L69" s="111">
        <f t="shared" si="147"/>
        <v>3819.6</v>
      </c>
      <c r="M69" s="111">
        <f t="shared" si="147"/>
        <v>4209.3999999999996</v>
      </c>
      <c r="N69" s="111">
        <f t="shared" si="147"/>
        <v>5196.8</v>
      </c>
      <c r="O69" s="111">
        <f t="shared" si="147"/>
        <v>5586.6</v>
      </c>
      <c r="P69" s="111">
        <f t="shared" si="147"/>
        <v>7795.2</v>
      </c>
      <c r="Q69" s="42">
        <f t="shared" ref="Q69" si="248">ROUNDDOWN(R69*C69,1)</f>
        <v>2702.4</v>
      </c>
      <c r="R69" s="125">
        <f>RCFs!C$7</f>
        <v>19.303333333333335</v>
      </c>
      <c r="S69" s="111">
        <f t="shared" si="123"/>
        <v>3513.1</v>
      </c>
      <c r="T69" s="111">
        <f t="shared" si="123"/>
        <v>4053.6</v>
      </c>
      <c r="U69" s="42">
        <f t="shared" ref="U69" si="249">ROUND(V69*C69,1)</f>
        <v>2579.1999999999998</v>
      </c>
      <c r="V69" s="125">
        <f>RCFs!C$9</f>
        <v>18.422999999999998</v>
      </c>
      <c r="W69" s="42">
        <f t="shared" ref="W69" si="250">ROUND(X69*C69,1)</f>
        <v>2579.1999999999998</v>
      </c>
      <c r="X69" s="125">
        <f t="shared" ref="X69" si="251">V69</f>
        <v>18.422999999999998</v>
      </c>
      <c r="Y69" s="111">
        <f t="shared" si="73"/>
        <v>2837.1</v>
      </c>
      <c r="Z69" s="111">
        <f t="shared" si="148"/>
        <v>3533.5</v>
      </c>
      <c r="AA69" s="111">
        <f t="shared" si="148"/>
        <v>4178.3</v>
      </c>
      <c r="AB69" s="111">
        <f t="shared" si="148"/>
        <v>3791.5</v>
      </c>
      <c r="AC69" s="111">
        <f t="shared" si="148"/>
        <v>5596.9</v>
      </c>
      <c r="AD69" s="111">
        <f t="shared" si="148"/>
        <v>7737.7</v>
      </c>
      <c r="AE69" s="42">
        <f t="shared" ref="AE69" si="252">ROUND(AF69*C69,1)</f>
        <v>2678.7</v>
      </c>
      <c r="AF69" s="125">
        <f>RCFs!C$13</f>
        <v>19.133333333333333</v>
      </c>
      <c r="AG69" s="110">
        <f t="shared" si="127"/>
        <v>4419.8999999999996</v>
      </c>
      <c r="AH69" s="110">
        <f t="shared" si="127"/>
        <v>5625.3</v>
      </c>
      <c r="AI69" s="110">
        <f t="shared" si="127"/>
        <v>8036.1</v>
      </c>
      <c r="AJ69" s="42">
        <f t="shared" ref="AJ69" si="253">ROUNDDOWN(C69*AK69,1)</f>
        <v>2652.5</v>
      </c>
      <c r="AK69" s="125">
        <f>RCFs!C$25</f>
        <v>18.946666666666665</v>
      </c>
      <c r="AL69" s="42">
        <f t="shared" ref="AL69" si="254">ROUNDDOWN(C69*AM69,1)</f>
        <v>3513</v>
      </c>
      <c r="AM69" s="125">
        <f>RCFs!C$29</f>
        <v>25.09333333333333</v>
      </c>
      <c r="AN69" s="42">
        <f t="shared" ref="AN69" si="255">ROUNDDOWN(C69*AO69,1)</f>
        <v>2816.9</v>
      </c>
      <c r="AO69" s="125">
        <f>RCFs!C$33</f>
        <v>20.121274</v>
      </c>
      <c r="AP69" s="110">
        <f t="shared" ref="AP69" si="256">ROUNDDOWN(AN69*AP$6,1)</f>
        <v>4225.3</v>
      </c>
      <c r="AQ69" s="124">
        <f t="shared" ref="AQ69" si="257">ROUNDDOWN($C69*AR69,1)</f>
        <v>3666.6</v>
      </c>
      <c r="AR69" s="125">
        <f>RCFs!C$35</f>
        <v>26.19</v>
      </c>
      <c r="AS69" s="110">
        <f t="shared" ref="AS69" si="258">ROUNDDOWN(AQ69*AS$6,1)</f>
        <v>4766.5</v>
      </c>
      <c r="AT69" s="110">
        <f t="shared" ref="AT69" si="259">ROUNDDOWN(AR69*AT$6,1)</f>
        <v>37.9</v>
      </c>
      <c r="AU69" s="124">
        <f t="shared" ref="AU69" si="260">ROUNDDOWN($C69*AV69,1)</f>
        <v>2728.1</v>
      </c>
      <c r="AV69" s="124">
        <f>RCFs!C$37</f>
        <v>19.486666666666668</v>
      </c>
      <c r="AW69" s="124">
        <f t="shared" ref="AW69" si="261">ROUNDDOWN(AX69*C69,1)</f>
        <v>2775.7</v>
      </c>
      <c r="AX69" s="125">
        <f>RCFs!C$64</f>
        <v>19.826666666666664</v>
      </c>
      <c r="AY69" s="124">
        <f t="shared" ref="AY69" si="262">ROUNDDOWN($C69*AZ69,1)</f>
        <v>2652.5</v>
      </c>
      <c r="AZ69" s="125">
        <f>RCFs!C$39</f>
        <v>18.946666666666665</v>
      </c>
      <c r="BA69" s="124">
        <f t="shared" ref="BA69" si="263">ROUNDDOWN($C69*BB69,1)</f>
        <v>2669.5</v>
      </c>
      <c r="BB69" s="125">
        <f>RCFs!C$41</f>
        <v>19.068114999999999</v>
      </c>
    </row>
    <row r="70" spans="1:54" s="67" customFormat="1" x14ac:dyDescent="0.3">
      <c r="A70" s="66" t="s">
        <v>40</v>
      </c>
      <c r="B70" s="68" t="s">
        <v>60</v>
      </c>
      <c r="C70" s="46">
        <v>140</v>
      </c>
      <c r="D70" s="42">
        <f t="shared" si="121"/>
        <v>10537.6</v>
      </c>
      <c r="E70" s="123">
        <f>RCFs!C$43</f>
        <v>75.268515088574986</v>
      </c>
      <c r="F70" s="124">
        <f t="shared" si="105"/>
        <v>2598.4</v>
      </c>
      <c r="G70" s="123">
        <f>RCFs!C$5</f>
        <v>18.559999999999999</v>
      </c>
      <c r="H70" s="124">
        <f t="shared" si="106"/>
        <v>2598.4</v>
      </c>
      <c r="I70" s="123">
        <f>RCFs!C$5</f>
        <v>18.559999999999999</v>
      </c>
      <c r="J70" s="111">
        <f t="shared" ref="J70:P91" si="264">ROUND($C70*$I70*J$6,1)</f>
        <v>2858.2</v>
      </c>
      <c r="K70" s="111">
        <f t="shared" si="264"/>
        <v>3559.8</v>
      </c>
      <c r="L70" s="111">
        <f t="shared" si="264"/>
        <v>3819.6</v>
      </c>
      <c r="M70" s="111">
        <f t="shared" si="264"/>
        <v>4209.3999999999996</v>
      </c>
      <c r="N70" s="111">
        <f t="shared" si="264"/>
        <v>5196.8</v>
      </c>
      <c r="O70" s="111">
        <f t="shared" si="264"/>
        <v>5586.6</v>
      </c>
      <c r="P70" s="111">
        <f t="shared" si="264"/>
        <v>7795.2</v>
      </c>
      <c r="Q70" s="42">
        <f t="shared" si="107"/>
        <v>2702.4</v>
      </c>
      <c r="R70" s="125">
        <f>RCFs!C$7</f>
        <v>19.303333333333335</v>
      </c>
      <c r="S70" s="111">
        <f t="shared" ref="S70:T108" si="265">ROUNDDOWN($Q70*S$6,1)</f>
        <v>3513.1</v>
      </c>
      <c r="T70" s="111">
        <f t="shared" si="265"/>
        <v>4053.6</v>
      </c>
      <c r="U70" s="42">
        <f t="shared" si="108"/>
        <v>2579.1999999999998</v>
      </c>
      <c r="V70" s="125">
        <f>RCFs!C$9</f>
        <v>18.422999999999998</v>
      </c>
      <c r="W70" s="42">
        <f t="shared" si="124"/>
        <v>2579.1999999999998</v>
      </c>
      <c r="X70" s="125">
        <f t="shared" si="149"/>
        <v>18.422999999999998</v>
      </c>
      <c r="Y70" s="111">
        <f t="shared" si="73"/>
        <v>2837.1</v>
      </c>
      <c r="Z70" s="111">
        <f t="shared" ref="Z70:AD91" si="266">ROUND($C70*$X70*Z$6,1)</f>
        <v>3533.5</v>
      </c>
      <c r="AA70" s="111">
        <f t="shared" si="266"/>
        <v>4178.3</v>
      </c>
      <c r="AB70" s="111">
        <f t="shared" si="266"/>
        <v>3791.5</v>
      </c>
      <c r="AC70" s="111">
        <f t="shared" si="266"/>
        <v>5596.9</v>
      </c>
      <c r="AD70" s="111">
        <f t="shared" si="266"/>
        <v>7737.7</v>
      </c>
      <c r="AE70" s="42">
        <f t="shared" si="126"/>
        <v>2678.7</v>
      </c>
      <c r="AF70" s="125">
        <f>RCFs!C$13</f>
        <v>19.133333333333333</v>
      </c>
      <c r="AG70" s="110">
        <f t="shared" ref="AG70:AI108" si="267">ROUND($AE70*AG$6,1)</f>
        <v>4419.8999999999996</v>
      </c>
      <c r="AH70" s="110">
        <f t="shared" si="267"/>
        <v>5625.3</v>
      </c>
      <c r="AI70" s="110">
        <f t="shared" si="267"/>
        <v>8036.1</v>
      </c>
      <c r="AJ70" s="42">
        <f t="shared" si="111"/>
        <v>2652.5</v>
      </c>
      <c r="AK70" s="125">
        <f>RCFs!C$25</f>
        <v>18.946666666666665</v>
      </c>
      <c r="AL70" s="42">
        <f t="shared" si="112"/>
        <v>3513</v>
      </c>
      <c r="AM70" s="125">
        <f>RCFs!C$29</f>
        <v>25.09333333333333</v>
      </c>
      <c r="AN70" s="42">
        <f t="shared" si="113"/>
        <v>2816.9</v>
      </c>
      <c r="AO70" s="125">
        <f>RCFs!C$33</f>
        <v>20.121274</v>
      </c>
      <c r="AP70" s="110">
        <f t="shared" si="114"/>
        <v>4225.3</v>
      </c>
      <c r="AQ70" s="124">
        <f t="shared" si="115"/>
        <v>3666.6</v>
      </c>
      <c r="AR70" s="125">
        <f>RCFs!C$35</f>
        <v>26.19</v>
      </c>
      <c r="AS70" s="110">
        <f t="shared" si="116"/>
        <v>4766.5</v>
      </c>
      <c r="AT70" s="110">
        <f t="shared" si="117"/>
        <v>37.9</v>
      </c>
      <c r="AU70" s="124">
        <f t="shared" si="118"/>
        <v>2728.1</v>
      </c>
      <c r="AV70" s="124">
        <f>RCFs!C$37</f>
        <v>19.486666666666668</v>
      </c>
      <c r="AW70" s="124">
        <f t="shared" si="128"/>
        <v>2775.7</v>
      </c>
      <c r="AX70" s="125">
        <f>RCFs!C$64</f>
        <v>19.826666666666664</v>
      </c>
      <c r="AY70" s="124">
        <f t="shared" si="119"/>
        <v>2652.5</v>
      </c>
      <c r="AZ70" s="125">
        <f>RCFs!C$39</f>
        <v>18.946666666666665</v>
      </c>
      <c r="BA70" s="124">
        <f t="shared" si="120"/>
        <v>2669.5</v>
      </c>
      <c r="BB70" s="125">
        <f>RCFs!C$41</f>
        <v>19.068114999999999</v>
      </c>
    </row>
    <row r="71" spans="1:54" s="67" customFormat="1" x14ac:dyDescent="0.3">
      <c r="A71" s="66">
        <v>1253</v>
      </c>
      <c r="B71" s="68" t="s">
        <v>249</v>
      </c>
      <c r="C71" s="46">
        <v>70</v>
      </c>
      <c r="D71" s="42">
        <f t="shared" ref="D71" si="268">ROUND(E71*C71,1)</f>
        <v>5268.8</v>
      </c>
      <c r="E71" s="123">
        <f>RCFs!C$43</f>
        <v>75.268515088574986</v>
      </c>
      <c r="F71" s="124">
        <f t="shared" ref="F71" si="269">ROUNDDOWN($C71*G71,1)</f>
        <v>1299.2</v>
      </c>
      <c r="G71" s="123">
        <f>RCFs!C$5</f>
        <v>18.559999999999999</v>
      </c>
      <c r="H71" s="124">
        <f t="shared" ref="H71" si="270">ROUNDDOWN($C71*I71,1)</f>
        <v>1299.2</v>
      </c>
      <c r="I71" s="123">
        <f>RCFs!C$5</f>
        <v>18.559999999999999</v>
      </c>
      <c r="J71" s="111">
        <f t="shared" si="264"/>
        <v>1429.1</v>
      </c>
      <c r="K71" s="111">
        <f t="shared" si="264"/>
        <v>1779.9</v>
      </c>
      <c r="L71" s="111">
        <f t="shared" si="264"/>
        <v>1909.8</v>
      </c>
      <c r="M71" s="111">
        <f t="shared" si="264"/>
        <v>2104.6999999999998</v>
      </c>
      <c r="N71" s="111">
        <f t="shared" si="264"/>
        <v>2598.4</v>
      </c>
      <c r="O71" s="111">
        <f t="shared" si="264"/>
        <v>2793.3</v>
      </c>
      <c r="P71" s="111">
        <f t="shared" si="264"/>
        <v>3897.6</v>
      </c>
      <c r="Q71" s="42">
        <f t="shared" ref="Q71" si="271">ROUNDDOWN(R71*C71,1)</f>
        <v>1351.2</v>
      </c>
      <c r="R71" s="125">
        <f>RCFs!C$7</f>
        <v>19.303333333333335</v>
      </c>
      <c r="S71" s="111">
        <f t="shared" si="265"/>
        <v>1756.5</v>
      </c>
      <c r="T71" s="111">
        <f t="shared" si="265"/>
        <v>2026.8</v>
      </c>
      <c r="U71" s="42">
        <f t="shared" ref="U71" si="272">ROUND(V71*C71,1)</f>
        <v>1289.5999999999999</v>
      </c>
      <c r="V71" s="125">
        <f>RCFs!C$9</f>
        <v>18.422999999999998</v>
      </c>
      <c r="W71" s="42">
        <f t="shared" ref="W71" si="273">ROUND(X71*C71,1)</f>
        <v>1289.5999999999999</v>
      </c>
      <c r="X71" s="125">
        <f t="shared" ref="X71" si="274">V71</f>
        <v>18.422999999999998</v>
      </c>
      <c r="Y71" s="111">
        <f t="shared" si="73"/>
        <v>1418.5</v>
      </c>
      <c r="Z71" s="111">
        <f t="shared" si="266"/>
        <v>1766.8</v>
      </c>
      <c r="AA71" s="111">
        <f t="shared" si="266"/>
        <v>2089.1999999999998</v>
      </c>
      <c r="AB71" s="111">
        <f t="shared" si="266"/>
        <v>1895.7</v>
      </c>
      <c r="AC71" s="111">
        <f t="shared" si="266"/>
        <v>2798.5</v>
      </c>
      <c r="AD71" s="111">
        <f t="shared" si="266"/>
        <v>3868.8</v>
      </c>
      <c r="AE71" s="42">
        <f t="shared" ref="AE71" si="275">ROUND(AF71*C71,1)</f>
        <v>1339.3</v>
      </c>
      <c r="AF71" s="125">
        <f>RCFs!C$13</f>
        <v>19.133333333333333</v>
      </c>
      <c r="AG71" s="110">
        <f t="shared" si="267"/>
        <v>2209.8000000000002</v>
      </c>
      <c r="AH71" s="110">
        <f t="shared" si="267"/>
        <v>2812.5</v>
      </c>
      <c r="AI71" s="110">
        <f t="shared" si="267"/>
        <v>4017.9</v>
      </c>
      <c r="AJ71" s="42">
        <f t="shared" ref="AJ71" si="276">ROUNDDOWN(C71*AK71,1)</f>
        <v>1326.2</v>
      </c>
      <c r="AK71" s="125">
        <f>RCFs!C$25</f>
        <v>18.946666666666665</v>
      </c>
      <c r="AL71" s="42">
        <f t="shared" ref="AL71" si="277">ROUNDDOWN(C71*AM71,1)</f>
        <v>1756.5</v>
      </c>
      <c r="AM71" s="125">
        <f>RCFs!C$29</f>
        <v>25.09333333333333</v>
      </c>
      <c r="AN71" s="42">
        <f t="shared" ref="AN71" si="278">ROUNDDOWN(C71*AO71,1)</f>
        <v>1408.4</v>
      </c>
      <c r="AO71" s="125">
        <f>RCFs!C$33</f>
        <v>20.121274</v>
      </c>
      <c r="AP71" s="110">
        <f t="shared" ref="AP71" si="279">ROUNDDOWN(AN71*AP$6,1)</f>
        <v>2112.6</v>
      </c>
      <c r="AQ71" s="124">
        <f t="shared" ref="AQ71" si="280">ROUNDDOWN($C71*AR71,1)</f>
        <v>1833.3</v>
      </c>
      <c r="AR71" s="125">
        <f>RCFs!C$35</f>
        <v>26.19</v>
      </c>
      <c r="AS71" s="110">
        <f t="shared" ref="AS71" si="281">ROUNDDOWN(AQ71*AS$6,1)</f>
        <v>2383.1999999999998</v>
      </c>
      <c r="AT71" s="110">
        <f t="shared" ref="AT71" si="282">ROUNDDOWN(AR71*AT$6,1)</f>
        <v>37.9</v>
      </c>
      <c r="AU71" s="124">
        <f t="shared" ref="AU71" si="283">ROUNDDOWN($C71*AV71,1)</f>
        <v>1364</v>
      </c>
      <c r="AV71" s="124">
        <f>RCFs!C$37</f>
        <v>19.486666666666668</v>
      </c>
      <c r="AW71" s="124">
        <f t="shared" ref="AW71" si="284">ROUNDDOWN(AX71*C71,1)</f>
        <v>1387.8</v>
      </c>
      <c r="AX71" s="125">
        <f>RCFs!C$64</f>
        <v>19.826666666666664</v>
      </c>
      <c r="AY71" s="124">
        <f t="shared" ref="AY71" si="285">ROUNDDOWN($C71*AZ71,1)</f>
        <v>1326.2</v>
      </c>
      <c r="AZ71" s="125">
        <f>RCFs!C$39</f>
        <v>18.946666666666665</v>
      </c>
      <c r="BA71" s="124">
        <f t="shared" ref="BA71" si="286">ROUNDDOWN($C71*BB71,1)</f>
        <v>1334.7</v>
      </c>
      <c r="BB71" s="125">
        <f>RCFs!C$41</f>
        <v>19.068114999999999</v>
      </c>
    </row>
    <row r="72" spans="1:54" s="67" customFormat="1" x14ac:dyDescent="0.3">
      <c r="A72" s="66">
        <v>1257</v>
      </c>
      <c r="B72" s="68" t="s">
        <v>188</v>
      </c>
      <c r="C72" s="46">
        <v>300</v>
      </c>
      <c r="D72" s="42">
        <f t="shared" si="121"/>
        <v>22580.6</v>
      </c>
      <c r="E72" s="123">
        <f>RCFs!C$43</f>
        <v>75.268515088574986</v>
      </c>
      <c r="F72" s="124">
        <f t="shared" si="105"/>
        <v>5568</v>
      </c>
      <c r="G72" s="123">
        <f>RCFs!C$5</f>
        <v>18.559999999999999</v>
      </c>
      <c r="H72" s="124">
        <f t="shared" si="106"/>
        <v>5568</v>
      </c>
      <c r="I72" s="123">
        <f>RCFs!C$5</f>
        <v>18.559999999999999</v>
      </c>
      <c r="J72" s="111">
        <f t="shared" si="264"/>
        <v>6124.8</v>
      </c>
      <c r="K72" s="111">
        <f t="shared" si="264"/>
        <v>7628.2</v>
      </c>
      <c r="L72" s="111">
        <f t="shared" si="264"/>
        <v>8185</v>
      </c>
      <c r="M72" s="111">
        <f t="shared" si="264"/>
        <v>9020.2000000000007</v>
      </c>
      <c r="N72" s="111">
        <f t="shared" si="264"/>
        <v>11136</v>
      </c>
      <c r="O72" s="111">
        <f t="shared" si="264"/>
        <v>11971.2</v>
      </c>
      <c r="P72" s="111">
        <f t="shared" si="264"/>
        <v>16704</v>
      </c>
      <c r="Q72" s="42">
        <f t="shared" si="107"/>
        <v>5791</v>
      </c>
      <c r="R72" s="125">
        <f>RCFs!C$7</f>
        <v>19.303333333333335</v>
      </c>
      <c r="S72" s="111">
        <f t="shared" si="265"/>
        <v>7528.3</v>
      </c>
      <c r="T72" s="111">
        <f t="shared" si="265"/>
        <v>8686.5</v>
      </c>
      <c r="U72" s="42">
        <f t="shared" si="108"/>
        <v>5526.9</v>
      </c>
      <c r="V72" s="125">
        <f>RCFs!C$9</f>
        <v>18.422999999999998</v>
      </c>
      <c r="W72" s="42">
        <f t="shared" si="124"/>
        <v>5526.9</v>
      </c>
      <c r="X72" s="125">
        <f t="shared" si="149"/>
        <v>18.422999999999998</v>
      </c>
      <c r="Y72" s="111">
        <f t="shared" si="73"/>
        <v>6079.5</v>
      </c>
      <c r="Z72" s="111">
        <f t="shared" si="266"/>
        <v>7571.9</v>
      </c>
      <c r="AA72" s="111">
        <f t="shared" si="266"/>
        <v>8953.6</v>
      </c>
      <c r="AB72" s="111">
        <f t="shared" si="266"/>
        <v>8124.5</v>
      </c>
      <c r="AC72" s="111">
        <f t="shared" si="266"/>
        <v>11993.4</v>
      </c>
      <c r="AD72" s="111">
        <f t="shared" si="266"/>
        <v>16580.7</v>
      </c>
      <c r="AE72" s="42">
        <f t="shared" si="126"/>
        <v>5740</v>
      </c>
      <c r="AF72" s="125">
        <f>RCFs!C$13</f>
        <v>19.133333333333333</v>
      </c>
      <c r="AG72" s="110">
        <f t="shared" si="267"/>
        <v>9471</v>
      </c>
      <c r="AH72" s="110">
        <f t="shared" si="267"/>
        <v>12054</v>
      </c>
      <c r="AI72" s="110">
        <f t="shared" si="267"/>
        <v>17220</v>
      </c>
      <c r="AJ72" s="42">
        <f t="shared" si="111"/>
        <v>5684</v>
      </c>
      <c r="AK72" s="125">
        <f>RCFs!C$25</f>
        <v>18.946666666666665</v>
      </c>
      <c r="AL72" s="42">
        <f t="shared" si="112"/>
        <v>7528</v>
      </c>
      <c r="AM72" s="125">
        <f>RCFs!C$29</f>
        <v>25.09333333333333</v>
      </c>
      <c r="AN72" s="42">
        <f t="shared" si="113"/>
        <v>6036.3</v>
      </c>
      <c r="AO72" s="125">
        <f>RCFs!C$33</f>
        <v>20.121274</v>
      </c>
      <c r="AP72" s="110">
        <f t="shared" si="114"/>
        <v>9054.4</v>
      </c>
      <c r="AQ72" s="124">
        <f t="shared" si="115"/>
        <v>7857</v>
      </c>
      <c r="AR72" s="125">
        <f>RCFs!C$35</f>
        <v>26.19</v>
      </c>
      <c r="AS72" s="110">
        <f t="shared" si="116"/>
        <v>10214.1</v>
      </c>
      <c r="AT72" s="110">
        <f t="shared" si="117"/>
        <v>37.9</v>
      </c>
      <c r="AU72" s="124">
        <f t="shared" si="118"/>
        <v>5846</v>
      </c>
      <c r="AV72" s="124">
        <f>RCFs!C$37</f>
        <v>19.486666666666668</v>
      </c>
      <c r="AW72" s="124">
        <f t="shared" si="128"/>
        <v>5948</v>
      </c>
      <c r="AX72" s="125">
        <f>RCFs!C$64</f>
        <v>19.826666666666664</v>
      </c>
      <c r="AY72" s="124">
        <f t="shared" si="119"/>
        <v>5684</v>
      </c>
      <c r="AZ72" s="125">
        <f>RCFs!C$39</f>
        <v>18.946666666666665</v>
      </c>
      <c r="BA72" s="124">
        <f t="shared" si="120"/>
        <v>5720.4</v>
      </c>
      <c r="BB72" s="125">
        <f>RCFs!C$41</f>
        <v>19.068114999999999</v>
      </c>
    </row>
    <row r="73" spans="1:54" s="67" customFormat="1" x14ac:dyDescent="0.3">
      <c r="A73" s="66">
        <v>1259</v>
      </c>
      <c r="B73" s="68" t="s">
        <v>250</v>
      </c>
      <c r="C73" s="46">
        <v>230</v>
      </c>
      <c r="D73" s="42">
        <f t="shared" ref="D73" si="287">ROUND(E73*C73,1)</f>
        <v>17311.8</v>
      </c>
      <c r="E73" s="123">
        <f>RCFs!C$43</f>
        <v>75.268515088574986</v>
      </c>
      <c r="F73" s="124">
        <f t="shared" ref="F73" si="288">ROUNDDOWN($C73*G73,1)</f>
        <v>4268.8</v>
      </c>
      <c r="G73" s="123">
        <f>RCFs!C$5</f>
        <v>18.559999999999999</v>
      </c>
      <c r="H73" s="124">
        <f t="shared" ref="H73" si="289">ROUNDDOWN($C73*I73,1)</f>
        <v>4268.8</v>
      </c>
      <c r="I73" s="123">
        <f>RCFs!C$5</f>
        <v>18.559999999999999</v>
      </c>
      <c r="J73" s="111">
        <f t="shared" si="264"/>
        <v>4695.7</v>
      </c>
      <c r="K73" s="111">
        <f t="shared" si="264"/>
        <v>5848.3</v>
      </c>
      <c r="L73" s="111">
        <f t="shared" si="264"/>
        <v>6275.1</v>
      </c>
      <c r="M73" s="111">
        <f t="shared" si="264"/>
        <v>6915.5</v>
      </c>
      <c r="N73" s="111">
        <f t="shared" si="264"/>
        <v>8537.6</v>
      </c>
      <c r="O73" s="111">
        <f t="shared" si="264"/>
        <v>9177.9</v>
      </c>
      <c r="P73" s="111">
        <f t="shared" si="264"/>
        <v>12806.4</v>
      </c>
      <c r="Q73" s="42">
        <f t="shared" ref="Q73" si="290">ROUNDDOWN(R73*C73,1)</f>
        <v>4439.7</v>
      </c>
      <c r="R73" s="125">
        <f>RCFs!C$7</f>
        <v>19.303333333333335</v>
      </c>
      <c r="S73" s="111">
        <f t="shared" si="265"/>
        <v>5771.6</v>
      </c>
      <c r="T73" s="111">
        <f t="shared" si="265"/>
        <v>6659.5</v>
      </c>
      <c r="U73" s="42">
        <f t="shared" ref="U73" si="291">ROUND(V73*C73,1)</f>
        <v>4237.3</v>
      </c>
      <c r="V73" s="125">
        <f>RCFs!C$9</f>
        <v>18.422999999999998</v>
      </c>
      <c r="W73" s="42">
        <f t="shared" ref="W73" si="292">ROUND(X73*C73,1)</f>
        <v>4237.3</v>
      </c>
      <c r="X73" s="125">
        <f t="shared" ref="X73" si="293">V73</f>
        <v>18.422999999999998</v>
      </c>
      <c r="Y73" s="111">
        <f t="shared" si="73"/>
        <v>4661</v>
      </c>
      <c r="Z73" s="111">
        <f t="shared" si="266"/>
        <v>5805.1</v>
      </c>
      <c r="AA73" s="111">
        <f t="shared" si="266"/>
        <v>6864.4</v>
      </c>
      <c r="AB73" s="111">
        <f t="shared" si="266"/>
        <v>6228.8</v>
      </c>
      <c r="AC73" s="111">
        <f t="shared" si="266"/>
        <v>9194.9</v>
      </c>
      <c r="AD73" s="111">
        <f t="shared" si="266"/>
        <v>12711.9</v>
      </c>
      <c r="AE73" s="42">
        <f t="shared" ref="AE73" si="294">ROUND(AF73*C73,1)</f>
        <v>4400.7</v>
      </c>
      <c r="AF73" s="125">
        <f>RCFs!C$13</f>
        <v>19.133333333333333</v>
      </c>
      <c r="AG73" s="110">
        <f t="shared" si="267"/>
        <v>7261.2</v>
      </c>
      <c r="AH73" s="110">
        <f t="shared" si="267"/>
        <v>9241.5</v>
      </c>
      <c r="AI73" s="110">
        <f t="shared" si="267"/>
        <v>13202.1</v>
      </c>
      <c r="AJ73" s="42">
        <f t="shared" ref="AJ73" si="295">ROUNDDOWN(C73*AK73,1)</f>
        <v>4357.7</v>
      </c>
      <c r="AK73" s="125">
        <f>RCFs!C$25</f>
        <v>18.946666666666665</v>
      </c>
      <c r="AL73" s="42">
        <f t="shared" ref="AL73" si="296">ROUNDDOWN(C73*AM73,1)</f>
        <v>5771.4</v>
      </c>
      <c r="AM73" s="125">
        <f>RCFs!C$29</f>
        <v>25.09333333333333</v>
      </c>
      <c r="AN73" s="42">
        <f t="shared" ref="AN73" si="297">ROUNDDOWN(C73*AO73,1)</f>
        <v>4627.8</v>
      </c>
      <c r="AO73" s="125">
        <f>RCFs!C$33</f>
        <v>20.121274</v>
      </c>
      <c r="AP73" s="110">
        <f t="shared" ref="AP73" si="298">ROUNDDOWN(AN73*AP$6,1)</f>
        <v>6941.7</v>
      </c>
      <c r="AQ73" s="124">
        <f t="shared" ref="AQ73" si="299">ROUNDDOWN($C73*AR73,1)</f>
        <v>6023.7</v>
      </c>
      <c r="AR73" s="125">
        <f>RCFs!C$35</f>
        <v>26.19</v>
      </c>
      <c r="AS73" s="110">
        <f t="shared" ref="AS73" si="300">ROUNDDOWN(AQ73*AS$6,1)</f>
        <v>7830.8</v>
      </c>
      <c r="AT73" s="110">
        <f t="shared" ref="AT73" si="301">ROUNDDOWN(AR73*AT$6,1)</f>
        <v>37.9</v>
      </c>
      <c r="AU73" s="124">
        <f t="shared" ref="AU73" si="302">ROUNDDOWN($C73*AV73,1)</f>
        <v>4481.8999999999996</v>
      </c>
      <c r="AV73" s="124">
        <f>RCFs!C$37</f>
        <v>19.486666666666668</v>
      </c>
      <c r="AW73" s="124">
        <f t="shared" ref="AW73" si="303">ROUNDDOWN(AX73*C73,1)</f>
        <v>4560.1000000000004</v>
      </c>
      <c r="AX73" s="125">
        <f>RCFs!C$64</f>
        <v>19.826666666666664</v>
      </c>
      <c r="AY73" s="124">
        <f t="shared" ref="AY73" si="304">ROUNDDOWN($C73*AZ73,1)</f>
        <v>4357.7</v>
      </c>
      <c r="AZ73" s="125">
        <f>RCFs!C$39</f>
        <v>18.946666666666665</v>
      </c>
      <c r="BA73" s="124">
        <f t="shared" ref="BA73" si="305">ROUNDDOWN($C73*BB73,1)</f>
        <v>4385.6000000000004</v>
      </c>
      <c r="BB73" s="125">
        <f>RCFs!C$41</f>
        <v>19.068114999999999</v>
      </c>
    </row>
    <row r="74" spans="1:54" s="67" customFormat="1" x14ac:dyDescent="0.3">
      <c r="A74" s="66">
        <v>1261</v>
      </c>
      <c r="B74" s="68" t="s">
        <v>189</v>
      </c>
      <c r="C74" s="46">
        <v>600</v>
      </c>
      <c r="D74" s="42">
        <f t="shared" si="121"/>
        <v>45161.1</v>
      </c>
      <c r="E74" s="123">
        <f>RCFs!C$43</f>
        <v>75.268515088574986</v>
      </c>
      <c r="F74" s="124">
        <f t="shared" si="105"/>
        <v>11136</v>
      </c>
      <c r="G74" s="123">
        <f>RCFs!C$5</f>
        <v>18.559999999999999</v>
      </c>
      <c r="H74" s="124">
        <f t="shared" si="106"/>
        <v>11136</v>
      </c>
      <c r="I74" s="123">
        <f>RCFs!C$5</f>
        <v>18.559999999999999</v>
      </c>
      <c r="J74" s="111">
        <f t="shared" si="264"/>
        <v>12249.6</v>
      </c>
      <c r="K74" s="111">
        <f t="shared" si="264"/>
        <v>15256.3</v>
      </c>
      <c r="L74" s="111">
        <f t="shared" si="264"/>
        <v>16369.9</v>
      </c>
      <c r="M74" s="111">
        <f t="shared" si="264"/>
        <v>18040.3</v>
      </c>
      <c r="N74" s="111">
        <f t="shared" si="264"/>
        <v>22272</v>
      </c>
      <c r="O74" s="111">
        <f t="shared" si="264"/>
        <v>23942.400000000001</v>
      </c>
      <c r="P74" s="111">
        <f t="shared" si="264"/>
        <v>33408</v>
      </c>
      <c r="Q74" s="42">
        <f t="shared" si="107"/>
        <v>11582</v>
      </c>
      <c r="R74" s="125">
        <f>RCFs!C$7</f>
        <v>19.303333333333335</v>
      </c>
      <c r="S74" s="111">
        <f t="shared" si="265"/>
        <v>15056.6</v>
      </c>
      <c r="T74" s="111">
        <f t="shared" si="265"/>
        <v>17373</v>
      </c>
      <c r="U74" s="42">
        <f t="shared" si="108"/>
        <v>11053.8</v>
      </c>
      <c r="V74" s="125">
        <f>RCFs!C$9</f>
        <v>18.422999999999998</v>
      </c>
      <c r="W74" s="42">
        <f t="shared" si="124"/>
        <v>11053.8</v>
      </c>
      <c r="X74" s="125">
        <f t="shared" si="149"/>
        <v>18.422999999999998</v>
      </c>
      <c r="Y74" s="111">
        <f t="shared" si="73"/>
        <v>12159.1</v>
      </c>
      <c r="Z74" s="111">
        <f t="shared" si="266"/>
        <v>15143.7</v>
      </c>
      <c r="AA74" s="111">
        <f t="shared" si="266"/>
        <v>17907.2</v>
      </c>
      <c r="AB74" s="111">
        <f t="shared" si="266"/>
        <v>16249.1</v>
      </c>
      <c r="AC74" s="111">
        <f t="shared" si="266"/>
        <v>23986.7</v>
      </c>
      <c r="AD74" s="111">
        <f t="shared" si="266"/>
        <v>33161.4</v>
      </c>
      <c r="AE74" s="42">
        <f t="shared" si="126"/>
        <v>11480</v>
      </c>
      <c r="AF74" s="125">
        <f>RCFs!C$13</f>
        <v>19.133333333333333</v>
      </c>
      <c r="AG74" s="110">
        <f t="shared" si="267"/>
        <v>18942</v>
      </c>
      <c r="AH74" s="110">
        <f t="shared" si="267"/>
        <v>24108</v>
      </c>
      <c r="AI74" s="110">
        <f t="shared" si="267"/>
        <v>34440</v>
      </c>
      <c r="AJ74" s="42">
        <f t="shared" si="111"/>
        <v>11368</v>
      </c>
      <c r="AK74" s="125">
        <f>RCFs!C$25</f>
        <v>18.946666666666665</v>
      </c>
      <c r="AL74" s="42">
        <f t="shared" si="112"/>
        <v>15056</v>
      </c>
      <c r="AM74" s="125">
        <f>RCFs!C$29</f>
        <v>25.09333333333333</v>
      </c>
      <c r="AN74" s="42">
        <f t="shared" si="113"/>
        <v>12072.7</v>
      </c>
      <c r="AO74" s="125">
        <f>RCFs!C$33</f>
        <v>20.121274</v>
      </c>
      <c r="AP74" s="110">
        <f t="shared" si="114"/>
        <v>18109</v>
      </c>
      <c r="AQ74" s="124">
        <f t="shared" si="115"/>
        <v>15714</v>
      </c>
      <c r="AR74" s="125">
        <f>RCFs!C$35</f>
        <v>26.19</v>
      </c>
      <c r="AS74" s="110">
        <f t="shared" si="116"/>
        <v>20428.2</v>
      </c>
      <c r="AT74" s="110">
        <f t="shared" si="117"/>
        <v>37.9</v>
      </c>
      <c r="AU74" s="124">
        <f t="shared" si="118"/>
        <v>11692</v>
      </c>
      <c r="AV74" s="124">
        <f>RCFs!C$37</f>
        <v>19.486666666666668</v>
      </c>
      <c r="AW74" s="124">
        <f t="shared" si="128"/>
        <v>11896</v>
      </c>
      <c r="AX74" s="125">
        <f>RCFs!C$64</f>
        <v>19.826666666666664</v>
      </c>
      <c r="AY74" s="124">
        <f t="shared" si="119"/>
        <v>11368</v>
      </c>
      <c r="AZ74" s="125">
        <f>RCFs!C$39</f>
        <v>18.946666666666665</v>
      </c>
      <c r="BA74" s="124">
        <f t="shared" si="120"/>
        <v>11440.8</v>
      </c>
      <c r="BB74" s="125">
        <f>RCFs!C$41</f>
        <v>19.068114999999999</v>
      </c>
    </row>
    <row r="75" spans="1:54" s="67" customFormat="1" x14ac:dyDescent="0.3">
      <c r="A75" s="66">
        <v>1262</v>
      </c>
      <c r="B75" s="68" t="s">
        <v>190</v>
      </c>
      <c r="C75" s="46">
        <v>500</v>
      </c>
      <c r="D75" s="42">
        <f t="shared" si="121"/>
        <v>37634.300000000003</v>
      </c>
      <c r="E75" s="123">
        <f>RCFs!C$43</f>
        <v>75.268515088574986</v>
      </c>
      <c r="F75" s="124">
        <f t="shared" si="105"/>
        <v>9280</v>
      </c>
      <c r="G75" s="123">
        <f>RCFs!C$5</f>
        <v>18.559999999999999</v>
      </c>
      <c r="H75" s="124">
        <f t="shared" si="106"/>
        <v>9280</v>
      </c>
      <c r="I75" s="123">
        <f>RCFs!C$5</f>
        <v>18.559999999999999</v>
      </c>
      <c r="J75" s="111">
        <f t="shared" si="264"/>
        <v>10208</v>
      </c>
      <c r="K75" s="111">
        <f t="shared" si="264"/>
        <v>12713.6</v>
      </c>
      <c r="L75" s="111">
        <f t="shared" si="264"/>
        <v>13641.6</v>
      </c>
      <c r="M75" s="111">
        <f t="shared" si="264"/>
        <v>15033.6</v>
      </c>
      <c r="N75" s="111">
        <f t="shared" si="264"/>
        <v>18560</v>
      </c>
      <c r="O75" s="111">
        <f t="shared" si="264"/>
        <v>19952</v>
      </c>
      <c r="P75" s="111">
        <f t="shared" si="264"/>
        <v>27840</v>
      </c>
      <c r="Q75" s="42">
        <f t="shared" si="107"/>
        <v>9651.6</v>
      </c>
      <c r="R75" s="125">
        <f>RCFs!C$7</f>
        <v>19.303333333333335</v>
      </c>
      <c r="S75" s="111">
        <f t="shared" si="265"/>
        <v>12547</v>
      </c>
      <c r="T75" s="111">
        <f t="shared" si="265"/>
        <v>14477.4</v>
      </c>
      <c r="U75" s="42">
        <f t="shared" si="108"/>
        <v>9211.5</v>
      </c>
      <c r="V75" s="125">
        <f>RCFs!C$9</f>
        <v>18.422999999999998</v>
      </c>
      <c r="W75" s="42">
        <f t="shared" si="124"/>
        <v>9211.5</v>
      </c>
      <c r="X75" s="125">
        <f t="shared" si="149"/>
        <v>18.422999999999998</v>
      </c>
      <c r="Y75" s="111">
        <f t="shared" si="73"/>
        <v>10132.6</v>
      </c>
      <c r="Z75" s="111">
        <f t="shared" si="266"/>
        <v>12619.8</v>
      </c>
      <c r="AA75" s="111">
        <f t="shared" si="266"/>
        <v>14922.6</v>
      </c>
      <c r="AB75" s="111">
        <f t="shared" si="266"/>
        <v>13540.9</v>
      </c>
      <c r="AC75" s="111">
        <f t="shared" si="266"/>
        <v>19989</v>
      </c>
      <c r="AD75" s="111">
        <f t="shared" si="266"/>
        <v>27634.5</v>
      </c>
      <c r="AE75" s="42">
        <f t="shared" si="126"/>
        <v>9566.7000000000007</v>
      </c>
      <c r="AF75" s="125">
        <f>RCFs!C$13</f>
        <v>19.133333333333333</v>
      </c>
      <c r="AG75" s="110">
        <f t="shared" si="267"/>
        <v>15785.1</v>
      </c>
      <c r="AH75" s="110">
        <f t="shared" si="267"/>
        <v>20090.099999999999</v>
      </c>
      <c r="AI75" s="110">
        <f t="shared" si="267"/>
        <v>28700.1</v>
      </c>
      <c r="AJ75" s="42">
        <f t="shared" si="111"/>
        <v>9473.2999999999993</v>
      </c>
      <c r="AK75" s="125">
        <f>RCFs!C$25</f>
        <v>18.946666666666665</v>
      </c>
      <c r="AL75" s="42">
        <f t="shared" si="112"/>
        <v>12546.6</v>
      </c>
      <c r="AM75" s="125">
        <f>RCFs!C$29</f>
        <v>25.09333333333333</v>
      </c>
      <c r="AN75" s="42">
        <f t="shared" si="113"/>
        <v>10060.6</v>
      </c>
      <c r="AO75" s="125">
        <f>RCFs!C$33</f>
        <v>20.121274</v>
      </c>
      <c r="AP75" s="110">
        <f t="shared" si="114"/>
        <v>15090.9</v>
      </c>
      <c r="AQ75" s="124">
        <f t="shared" si="115"/>
        <v>13095</v>
      </c>
      <c r="AR75" s="125">
        <f>RCFs!C$35</f>
        <v>26.19</v>
      </c>
      <c r="AS75" s="110">
        <f t="shared" si="116"/>
        <v>17023.5</v>
      </c>
      <c r="AT75" s="110">
        <f t="shared" si="117"/>
        <v>37.9</v>
      </c>
      <c r="AU75" s="124">
        <f t="shared" si="118"/>
        <v>9743.2999999999993</v>
      </c>
      <c r="AV75" s="124">
        <f>RCFs!C$37</f>
        <v>19.486666666666668</v>
      </c>
      <c r="AW75" s="124">
        <f t="shared" si="128"/>
        <v>9913.2999999999993</v>
      </c>
      <c r="AX75" s="125">
        <f>RCFs!C$64</f>
        <v>19.826666666666664</v>
      </c>
      <c r="AY75" s="124">
        <f t="shared" si="119"/>
        <v>9473.2999999999993</v>
      </c>
      <c r="AZ75" s="125">
        <f>RCFs!C$39</f>
        <v>18.946666666666665</v>
      </c>
      <c r="BA75" s="124">
        <f t="shared" si="120"/>
        <v>9534</v>
      </c>
      <c r="BB75" s="125">
        <f>RCFs!C$41</f>
        <v>19.068114999999999</v>
      </c>
    </row>
    <row r="76" spans="1:54" s="67" customFormat="1" x14ac:dyDescent="0.3">
      <c r="A76" s="66">
        <v>1268</v>
      </c>
      <c r="B76" s="68" t="s">
        <v>251</v>
      </c>
      <c r="C76" s="46">
        <v>15</v>
      </c>
      <c r="D76" s="42">
        <f t="shared" ref="D76" si="306">ROUND(E76*C76,1)</f>
        <v>1129</v>
      </c>
      <c r="E76" s="123">
        <f>RCFs!C$43</f>
        <v>75.268515088574986</v>
      </c>
      <c r="F76" s="124">
        <f t="shared" ref="F76" si="307">ROUNDDOWN($C76*G76,1)</f>
        <v>278.39999999999998</v>
      </c>
      <c r="G76" s="123">
        <f>RCFs!C$5</f>
        <v>18.559999999999999</v>
      </c>
      <c r="H76" s="124">
        <f t="shared" ref="H76" si="308">ROUNDDOWN($C76*I76,1)</f>
        <v>278.39999999999998</v>
      </c>
      <c r="I76" s="123">
        <f>RCFs!C$5</f>
        <v>18.559999999999999</v>
      </c>
      <c r="J76" s="111">
        <f t="shared" si="264"/>
        <v>306.2</v>
      </c>
      <c r="K76" s="111">
        <f t="shared" si="264"/>
        <v>381.4</v>
      </c>
      <c r="L76" s="111">
        <f t="shared" si="264"/>
        <v>409.2</v>
      </c>
      <c r="M76" s="111">
        <f t="shared" si="264"/>
        <v>451</v>
      </c>
      <c r="N76" s="111">
        <f t="shared" si="264"/>
        <v>556.79999999999995</v>
      </c>
      <c r="O76" s="111">
        <f t="shared" si="264"/>
        <v>598.6</v>
      </c>
      <c r="P76" s="111">
        <f t="shared" si="264"/>
        <v>835.2</v>
      </c>
      <c r="Q76" s="42">
        <f t="shared" ref="Q76" si="309">ROUNDDOWN(R76*C76,1)</f>
        <v>289.5</v>
      </c>
      <c r="R76" s="125">
        <f>RCFs!C$7</f>
        <v>19.303333333333335</v>
      </c>
      <c r="S76" s="111">
        <f t="shared" si="265"/>
        <v>376.3</v>
      </c>
      <c r="T76" s="111">
        <f t="shared" si="265"/>
        <v>434.2</v>
      </c>
      <c r="U76" s="42">
        <f t="shared" ref="U76" si="310">ROUND(V76*C76,1)</f>
        <v>276.3</v>
      </c>
      <c r="V76" s="125">
        <f>RCFs!C$9</f>
        <v>18.422999999999998</v>
      </c>
      <c r="W76" s="42">
        <f t="shared" ref="W76" si="311">ROUND(X76*C76,1)</f>
        <v>276.3</v>
      </c>
      <c r="X76" s="125">
        <f t="shared" ref="X76" si="312">V76</f>
        <v>18.422999999999998</v>
      </c>
      <c r="Y76" s="111">
        <f t="shared" si="73"/>
        <v>303.89999999999998</v>
      </c>
      <c r="Z76" s="111">
        <f t="shared" si="266"/>
        <v>378.6</v>
      </c>
      <c r="AA76" s="111">
        <f t="shared" si="266"/>
        <v>447.7</v>
      </c>
      <c r="AB76" s="111">
        <f t="shared" si="266"/>
        <v>406.2</v>
      </c>
      <c r="AC76" s="111">
        <f t="shared" si="266"/>
        <v>599.70000000000005</v>
      </c>
      <c r="AD76" s="111">
        <f t="shared" si="266"/>
        <v>829</v>
      </c>
      <c r="AE76" s="42">
        <f t="shared" ref="AE76" si="313">ROUND(AF76*C76,1)</f>
        <v>287</v>
      </c>
      <c r="AF76" s="125">
        <f>RCFs!C$13</f>
        <v>19.133333333333333</v>
      </c>
      <c r="AG76" s="110">
        <f t="shared" si="267"/>
        <v>473.6</v>
      </c>
      <c r="AH76" s="110">
        <f t="shared" si="267"/>
        <v>602.70000000000005</v>
      </c>
      <c r="AI76" s="110">
        <f t="shared" si="267"/>
        <v>861</v>
      </c>
      <c r="AJ76" s="42">
        <f t="shared" ref="AJ76" si="314">ROUNDDOWN(C76*AK76,1)</f>
        <v>284.2</v>
      </c>
      <c r="AK76" s="125">
        <f>RCFs!C$25</f>
        <v>18.946666666666665</v>
      </c>
      <c r="AL76" s="42">
        <f t="shared" ref="AL76" si="315">ROUNDDOWN(C76*AM76,1)</f>
        <v>376.4</v>
      </c>
      <c r="AM76" s="125">
        <f>RCFs!C$29</f>
        <v>25.09333333333333</v>
      </c>
      <c r="AN76" s="42">
        <f t="shared" ref="AN76" si="316">ROUNDDOWN(C76*AO76,1)</f>
        <v>301.8</v>
      </c>
      <c r="AO76" s="125">
        <f>RCFs!C$33</f>
        <v>20.121274</v>
      </c>
      <c r="AP76" s="110">
        <f t="shared" ref="AP76" si="317">ROUNDDOWN(AN76*AP$6,1)</f>
        <v>452.7</v>
      </c>
      <c r="AQ76" s="124">
        <f t="shared" ref="AQ76" si="318">ROUNDDOWN($C76*AR76,1)</f>
        <v>392.8</v>
      </c>
      <c r="AR76" s="125">
        <f>RCFs!C$35</f>
        <v>26.19</v>
      </c>
      <c r="AS76" s="110">
        <f t="shared" ref="AS76" si="319">ROUNDDOWN(AQ76*AS$6,1)</f>
        <v>510.6</v>
      </c>
      <c r="AT76" s="110">
        <f t="shared" ref="AT76" si="320">ROUNDDOWN(AR76*AT$6,1)</f>
        <v>37.9</v>
      </c>
      <c r="AU76" s="124">
        <f t="shared" ref="AU76" si="321">ROUNDDOWN($C76*AV76,1)</f>
        <v>292.3</v>
      </c>
      <c r="AV76" s="124">
        <f>RCFs!C$37</f>
        <v>19.486666666666668</v>
      </c>
      <c r="AW76" s="124">
        <f t="shared" ref="AW76" si="322">ROUNDDOWN(AX76*C76,1)</f>
        <v>297.39999999999998</v>
      </c>
      <c r="AX76" s="125">
        <f>RCFs!C$64</f>
        <v>19.826666666666664</v>
      </c>
      <c r="AY76" s="124">
        <f t="shared" ref="AY76" si="323">ROUNDDOWN($C76*AZ76,1)</f>
        <v>284.2</v>
      </c>
      <c r="AZ76" s="125">
        <f>RCFs!C$39</f>
        <v>18.946666666666665</v>
      </c>
      <c r="BA76" s="124">
        <f t="shared" ref="BA76" si="324">ROUNDDOWN($C76*BB76,1)</f>
        <v>286</v>
      </c>
      <c r="BB76" s="125">
        <f>RCFs!C$41</f>
        <v>19.068114999999999</v>
      </c>
    </row>
    <row r="77" spans="1:54" s="67" customFormat="1" ht="27.6" x14ac:dyDescent="0.3">
      <c r="A77" s="66">
        <v>1270</v>
      </c>
      <c r="B77" s="68" t="s">
        <v>252</v>
      </c>
      <c r="C77" s="46">
        <v>50</v>
      </c>
      <c r="D77" s="42">
        <f t="shared" ref="D77" si="325">ROUND(E77*C77,1)</f>
        <v>3763.4</v>
      </c>
      <c r="E77" s="123">
        <f>RCFs!C$43</f>
        <v>75.268515088574986</v>
      </c>
      <c r="F77" s="124">
        <f t="shared" ref="F77" si="326">ROUNDDOWN($C77*G77,1)</f>
        <v>928</v>
      </c>
      <c r="G77" s="123">
        <f>RCFs!C$5</f>
        <v>18.559999999999999</v>
      </c>
      <c r="H77" s="124">
        <f t="shared" ref="H77" si="327">ROUNDDOWN($C77*I77,1)</f>
        <v>928</v>
      </c>
      <c r="I77" s="123">
        <f>RCFs!C$5</f>
        <v>18.559999999999999</v>
      </c>
      <c r="J77" s="111">
        <f t="shared" si="264"/>
        <v>1020.8</v>
      </c>
      <c r="K77" s="111">
        <f t="shared" si="264"/>
        <v>1271.4000000000001</v>
      </c>
      <c r="L77" s="111">
        <f t="shared" si="264"/>
        <v>1364.2</v>
      </c>
      <c r="M77" s="111">
        <f t="shared" si="264"/>
        <v>1503.4</v>
      </c>
      <c r="N77" s="111">
        <f t="shared" si="264"/>
        <v>1856</v>
      </c>
      <c r="O77" s="111">
        <f t="shared" si="264"/>
        <v>1995.2</v>
      </c>
      <c r="P77" s="111">
        <f t="shared" si="264"/>
        <v>2784</v>
      </c>
      <c r="Q77" s="42">
        <f t="shared" ref="Q77" si="328">ROUNDDOWN(R77*C77,1)</f>
        <v>965.1</v>
      </c>
      <c r="R77" s="125">
        <f>RCFs!C$7</f>
        <v>19.303333333333335</v>
      </c>
      <c r="S77" s="111">
        <f t="shared" si="265"/>
        <v>1254.5999999999999</v>
      </c>
      <c r="T77" s="111">
        <f t="shared" si="265"/>
        <v>1447.6</v>
      </c>
      <c r="U77" s="42">
        <f t="shared" ref="U77" si="329">ROUND(V77*C77,1)</f>
        <v>921.2</v>
      </c>
      <c r="V77" s="125">
        <f>RCFs!C$9</f>
        <v>18.422999999999998</v>
      </c>
      <c r="W77" s="42">
        <f t="shared" ref="W77" si="330">ROUND(X77*C77,1)</f>
        <v>921.2</v>
      </c>
      <c r="X77" s="125">
        <f t="shared" ref="X77" si="331">V77</f>
        <v>18.422999999999998</v>
      </c>
      <c r="Y77" s="111">
        <f t="shared" si="73"/>
        <v>1013.3</v>
      </c>
      <c r="Z77" s="111">
        <f t="shared" si="266"/>
        <v>1262</v>
      </c>
      <c r="AA77" s="111">
        <f t="shared" si="266"/>
        <v>1492.3</v>
      </c>
      <c r="AB77" s="111">
        <f t="shared" si="266"/>
        <v>1354.1</v>
      </c>
      <c r="AC77" s="111">
        <f t="shared" si="266"/>
        <v>1998.9</v>
      </c>
      <c r="AD77" s="111">
        <f t="shared" si="266"/>
        <v>2763.5</v>
      </c>
      <c r="AE77" s="42">
        <f t="shared" ref="AE77" si="332">ROUND(AF77*C77,1)</f>
        <v>956.7</v>
      </c>
      <c r="AF77" s="125">
        <f>RCFs!C$13</f>
        <v>19.133333333333333</v>
      </c>
      <c r="AG77" s="110">
        <f t="shared" si="267"/>
        <v>1578.6</v>
      </c>
      <c r="AH77" s="110">
        <f t="shared" si="267"/>
        <v>2009.1</v>
      </c>
      <c r="AI77" s="110">
        <f t="shared" si="267"/>
        <v>2870.1</v>
      </c>
      <c r="AJ77" s="42">
        <f t="shared" ref="AJ77" si="333">ROUNDDOWN(C77*AK77,1)</f>
        <v>947.3</v>
      </c>
      <c r="AK77" s="125">
        <f>RCFs!C$25</f>
        <v>18.946666666666665</v>
      </c>
      <c r="AL77" s="42">
        <f t="shared" ref="AL77" si="334">ROUNDDOWN(C77*AM77,1)</f>
        <v>1254.5999999999999</v>
      </c>
      <c r="AM77" s="125">
        <f>RCFs!C$29</f>
        <v>25.09333333333333</v>
      </c>
      <c r="AN77" s="42">
        <f t="shared" ref="AN77" si="335">ROUNDDOWN(C77*AO77,1)</f>
        <v>1006</v>
      </c>
      <c r="AO77" s="125">
        <f>RCFs!C$33</f>
        <v>20.121274</v>
      </c>
      <c r="AP77" s="110">
        <f t="shared" ref="AP77" si="336">ROUNDDOWN(AN77*AP$6,1)</f>
        <v>1509</v>
      </c>
      <c r="AQ77" s="124">
        <f t="shared" ref="AQ77" si="337">ROUNDDOWN($C77*AR77,1)</f>
        <v>1309.5</v>
      </c>
      <c r="AR77" s="125">
        <f>RCFs!C$35</f>
        <v>26.19</v>
      </c>
      <c r="AS77" s="110">
        <f t="shared" ref="AS77" si="338">ROUNDDOWN(AQ77*AS$6,1)</f>
        <v>1702.3</v>
      </c>
      <c r="AT77" s="110">
        <f t="shared" ref="AT77" si="339">ROUNDDOWN(AR77*AT$6,1)</f>
        <v>37.9</v>
      </c>
      <c r="AU77" s="124">
        <f t="shared" ref="AU77" si="340">ROUNDDOWN($C77*AV77,1)</f>
        <v>974.3</v>
      </c>
      <c r="AV77" s="124">
        <f>RCFs!C$37</f>
        <v>19.486666666666668</v>
      </c>
      <c r="AW77" s="124">
        <f t="shared" ref="AW77" si="341">ROUNDDOWN(AX77*C77,1)</f>
        <v>991.3</v>
      </c>
      <c r="AX77" s="125">
        <f>RCFs!C$64</f>
        <v>19.826666666666664</v>
      </c>
      <c r="AY77" s="124">
        <f t="shared" ref="AY77" si="342">ROUNDDOWN($C77*AZ77,1)</f>
        <v>947.3</v>
      </c>
      <c r="AZ77" s="125">
        <f>RCFs!C$39</f>
        <v>18.946666666666665</v>
      </c>
      <c r="BA77" s="124">
        <f t="shared" ref="BA77" si="343">ROUNDDOWN($C77*BB77,1)</f>
        <v>953.4</v>
      </c>
      <c r="BB77" s="125">
        <f>RCFs!C$41</f>
        <v>19.068114999999999</v>
      </c>
    </row>
    <row r="78" spans="1:54" s="67" customFormat="1" x14ac:dyDescent="0.3">
      <c r="A78" s="66">
        <v>1273</v>
      </c>
      <c r="B78" s="68" t="s">
        <v>253</v>
      </c>
      <c r="C78" s="46">
        <v>120</v>
      </c>
      <c r="D78" s="42">
        <f t="shared" ref="D78" si="344">ROUND(E78*C78,1)</f>
        <v>9032.2000000000007</v>
      </c>
      <c r="E78" s="123">
        <f>RCFs!C$43</f>
        <v>75.268515088574986</v>
      </c>
      <c r="F78" s="124">
        <f t="shared" ref="F78" si="345">ROUNDDOWN($C78*G78,1)</f>
        <v>2227.1999999999998</v>
      </c>
      <c r="G78" s="123">
        <f>RCFs!C$5</f>
        <v>18.559999999999999</v>
      </c>
      <c r="H78" s="124">
        <f t="shared" ref="H78" si="346">ROUNDDOWN($C78*I78,1)</f>
        <v>2227.1999999999998</v>
      </c>
      <c r="I78" s="123">
        <f>RCFs!C$5</f>
        <v>18.559999999999999</v>
      </c>
      <c r="J78" s="111">
        <f t="shared" si="264"/>
        <v>2449.9</v>
      </c>
      <c r="K78" s="111">
        <f t="shared" si="264"/>
        <v>3051.3</v>
      </c>
      <c r="L78" s="111">
        <f t="shared" si="264"/>
        <v>3274</v>
      </c>
      <c r="M78" s="111">
        <f t="shared" si="264"/>
        <v>3608.1</v>
      </c>
      <c r="N78" s="111">
        <f t="shared" si="264"/>
        <v>4454.3999999999996</v>
      </c>
      <c r="O78" s="111">
        <f t="shared" si="264"/>
        <v>4788.5</v>
      </c>
      <c r="P78" s="111">
        <f t="shared" si="264"/>
        <v>6681.6</v>
      </c>
      <c r="Q78" s="42">
        <f t="shared" ref="Q78" si="347">ROUNDDOWN(R78*C78,1)</f>
        <v>2316.4</v>
      </c>
      <c r="R78" s="125">
        <f>RCFs!C$7</f>
        <v>19.303333333333335</v>
      </c>
      <c r="S78" s="111">
        <f t="shared" si="265"/>
        <v>3011.3</v>
      </c>
      <c r="T78" s="111">
        <f t="shared" si="265"/>
        <v>3474.6</v>
      </c>
      <c r="U78" s="42">
        <f t="shared" ref="U78" si="348">ROUND(V78*C78,1)</f>
        <v>2210.8000000000002</v>
      </c>
      <c r="V78" s="125">
        <f>RCFs!C$9</f>
        <v>18.422999999999998</v>
      </c>
      <c r="W78" s="42">
        <f t="shared" ref="W78" si="349">ROUND(X78*C78,1)</f>
        <v>2210.8000000000002</v>
      </c>
      <c r="X78" s="125">
        <f t="shared" ref="X78" si="350">V78</f>
        <v>18.422999999999998</v>
      </c>
      <c r="Y78" s="111">
        <f t="shared" si="73"/>
        <v>2431.8000000000002</v>
      </c>
      <c r="Z78" s="111">
        <f t="shared" si="266"/>
        <v>3028.7</v>
      </c>
      <c r="AA78" s="111">
        <f t="shared" si="266"/>
        <v>3581.4</v>
      </c>
      <c r="AB78" s="111">
        <f t="shared" si="266"/>
        <v>3249.8</v>
      </c>
      <c r="AC78" s="111">
        <f t="shared" si="266"/>
        <v>4797.3</v>
      </c>
      <c r="AD78" s="111">
        <f t="shared" si="266"/>
        <v>6632.3</v>
      </c>
      <c r="AE78" s="42">
        <f t="shared" ref="AE78" si="351">ROUND(AF78*C78,1)</f>
        <v>2296</v>
      </c>
      <c r="AF78" s="125">
        <f>RCFs!C$13</f>
        <v>19.133333333333333</v>
      </c>
      <c r="AG78" s="110">
        <f t="shared" si="267"/>
        <v>3788.4</v>
      </c>
      <c r="AH78" s="110">
        <f t="shared" si="267"/>
        <v>4821.6000000000004</v>
      </c>
      <c r="AI78" s="110">
        <f t="shared" si="267"/>
        <v>6888</v>
      </c>
      <c r="AJ78" s="42">
        <f t="shared" ref="AJ78" si="352">ROUNDDOWN(C78*AK78,1)</f>
        <v>2273.6</v>
      </c>
      <c r="AK78" s="125">
        <f>RCFs!C$25</f>
        <v>18.946666666666665</v>
      </c>
      <c r="AL78" s="42">
        <f t="shared" ref="AL78" si="353">ROUNDDOWN(C78*AM78,1)</f>
        <v>3011.2</v>
      </c>
      <c r="AM78" s="125">
        <f>RCFs!C$29</f>
        <v>25.09333333333333</v>
      </c>
      <c r="AN78" s="42">
        <f t="shared" ref="AN78" si="354">ROUNDDOWN(C78*AO78,1)</f>
        <v>2414.5</v>
      </c>
      <c r="AO78" s="125">
        <f>RCFs!C$33</f>
        <v>20.121274</v>
      </c>
      <c r="AP78" s="110">
        <f t="shared" ref="AP78" si="355">ROUNDDOWN(AN78*AP$6,1)</f>
        <v>3621.7</v>
      </c>
      <c r="AQ78" s="124">
        <f t="shared" ref="AQ78" si="356">ROUNDDOWN($C78*AR78,1)</f>
        <v>3142.8</v>
      </c>
      <c r="AR78" s="125">
        <f>RCFs!C$35</f>
        <v>26.19</v>
      </c>
      <c r="AS78" s="110">
        <f t="shared" ref="AS78" si="357">ROUNDDOWN(AQ78*AS$6,1)</f>
        <v>4085.6</v>
      </c>
      <c r="AT78" s="110">
        <f t="shared" ref="AT78" si="358">ROUNDDOWN(AR78*AT$6,1)</f>
        <v>37.9</v>
      </c>
      <c r="AU78" s="124">
        <f t="shared" ref="AU78" si="359">ROUNDDOWN($C78*AV78,1)</f>
        <v>2338.4</v>
      </c>
      <c r="AV78" s="124">
        <f>RCFs!C$37</f>
        <v>19.486666666666668</v>
      </c>
      <c r="AW78" s="124">
        <f t="shared" ref="AW78" si="360">ROUNDDOWN(AX78*C78,1)</f>
        <v>2379.1999999999998</v>
      </c>
      <c r="AX78" s="125">
        <f>RCFs!C$64</f>
        <v>19.826666666666664</v>
      </c>
      <c r="AY78" s="124">
        <f t="shared" ref="AY78" si="361">ROUNDDOWN($C78*AZ78,1)</f>
        <v>2273.6</v>
      </c>
      <c r="AZ78" s="125">
        <f>RCFs!C$39</f>
        <v>18.946666666666665</v>
      </c>
      <c r="BA78" s="124">
        <f t="shared" ref="BA78" si="362">ROUNDDOWN($C78*BB78,1)</f>
        <v>2288.1</v>
      </c>
      <c r="BB78" s="125">
        <f>RCFs!C$41</f>
        <v>19.068114999999999</v>
      </c>
    </row>
    <row r="79" spans="1:54" s="67" customFormat="1" x14ac:dyDescent="0.3">
      <c r="A79" s="66">
        <v>1276</v>
      </c>
      <c r="B79" s="68" t="s">
        <v>191</v>
      </c>
      <c r="C79" s="46">
        <v>260</v>
      </c>
      <c r="D79" s="42">
        <f t="shared" si="121"/>
        <v>19569.8</v>
      </c>
      <c r="E79" s="123">
        <f>RCFs!C$43</f>
        <v>75.268515088574986</v>
      </c>
      <c r="F79" s="124">
        <f t="shared" si="105"/>
        <v>4825.6000000000004</v>
      </c>
      <c r="G79" s="123">
        <f>RCFs!C$5</f>
        <v>18.559999999999999</v>
      </c>
      <c r="H79" s="124">
        <f t="shared" si="106"/>
        <v>4825.6000000000004</v>
      </c>
      <c r="I79" s="123">
        <f>RCFs!C$5</f>
        <v>18.559999999999999</v>
      </c>
      <c r="J79" s="111">
        <f t="shared" si="264"/>
        <v>5308.2</v>
      </c>
      <c r="K79" s="111">
        <f t="shared" si="264"/>
        <v>6611.1</v>
      </c>
      <c r="L79" s="111">
        <f t="shared" si="264"/>
        <v>7093.6</v>
      </c>
      <c r="M79" s="111">
        <f t="shared" si="264"/>
        <v>7817.5</v>
      </c>
      <c r="N79" s="111">
        <f t="shared" si="264"/>
        <v>9651.2000000000007</v>
      </c>
      <c r="O79" s="111">
        <f t="shared" si="264"/>
        <v>10375</v>
      </c>
      <c r="P79" s="111">
        <f t="shared" si="264"/>
        <v>14476.8</v>
      </c>
      <c r="Q79" s="42">
        <f t="shared" si="107"/>
        <v>5018.8</v>
      </c>
      <c r="R79" s="125">
        <f>RCFs!C$7</f>
        <v>19.303333333333335</v>
      </c>
      <c r="S79" s="111">
        <f t="shared" si="265"/>
        <v>6524.4</v>
      </c>
      <c r="T79" s="111">
        <f t="shared" si="265"/>
        <v>7528.2</v>
      </c>
      <c r="U79" s="42">
        <f t="shared" si="108"/>
        <v>4790</v>
      </c>
      <c r="V79" s="125">
        <f>RCFs!C$9</f>
        <v>18.422999999999998</v>
      </c>
      <c r="W79" s="42">
        <f t="shared" si="124"/>
        <v>4790</v>
      </c>
      <c r="X79" s="125">
        <f t="shared" si="149"/>
        <v>18.422999999999998</v>
      </c>
      <c r="Y79" s="111">
        <f t="shared" si="73"/>
        <v>5269</v>
      </c>
      <c r="Z79" s="111">
        <f t="shared" si="266"/>
        <v>6562.3</v>
      </c>
      <c r="AA79" s="111">
        <f t="shared" si="266"/>
        <v>7759.8</v>
      </c>
      <c r="AB79" s="111">
        <f t="shared" si="266"/>
        <v>7041.3</v>
      </c>
      <c r="AC79" s="111">
        <f t="shared" si="266"/>
        <v>10394.299999999999</v>
      </c>
      <c r="AD79" s="111">
        <f t="shared" si="266"/>
        <v>14369.9</v>
      </c>
      <c r="AE79" s="42">
        <f t="shared" si="126"/>
        <v>4974.7</v>
      </c>
      <c r="AF79" s="125">
        <f>RCFs!C$13</f>
        <v>19.133333333333333</v>
      </c>
      <c r="AG79" s="110">
        <f t="shared" si="267"/>
        <v>8208.2999999999993</v>
      </c>
      <c r="AH79" s="110">
        <f t="shared" si="267"/>
        <v>10446.9</v>
      </c>
      <c r="AI79" s="110">
        <f t="shared" si="267"/>
        <v>14924.1</v>
      </c>
      <c r="AJ79" s="42">
        <f t="shared" si="111"/>
        <v>4926.1000000000004</v>
      </c>
      <c r="AK79" s="125">
        <f>RCFs!C$25</f>
        <v>18.946666666666665</v>
      </c>
      <c r="AL79" s="42">
        <f t="shared" si="112"/>
        <v>6524.2</v>
      </c>
      <c r="AM79" s="125">
        <f>RCFs!C$29</f>
        <v>25.09333333333333</v>
      </c>
      <c r="AN79" s="42">
        <f t="shared" si="113"/>
        <v>5231.5</v>
      </c>
      <c r="AO79" s="125">
        <f>RCFs!C$33</f>
        <v>20.121274</v>
      </c>
      <c r="AP79" s="110">
        <f t="shared" si="114"/>
        <v>7847.2</v>
      </c>
      <c r="AQ79" s="124">
        <f t="shared" si="115"/>
        <v>6809.4</v>
      </c>
      <c r="AR79" s="125">
        <f>RCFs!C$35</f>
        <v>26.19</v>
      </c>
      <c r="AS79" s="110">
        <f t="shared" si="116"/>
        <v>8852.2000000000007</v>
      </c>
      <c r="AT79" s="110">
        <f t="shared" si="117"/>
        <v>37.9</v>
      </c>
      <c r="AU79" s="124">
        <f t="shared" si="118"/>
        <v>5066.5</v>
      </c>
      <c r="AV79" s="124">
        <f>RCFs!C$37</f>
        <v>19.486666666666668</v>
      </c>
      <c r="AW79" s="124">
        <f t="shared" si="128"/>
        <v>5154.8999999999996</v>
      </c>
      <c r="AX79" s="125">
        <f>RCFs!C$64</f>
        <v>19.826666666666664</v>
      </c>
      <c r="AY79" s="124">
        <f t="shared" si="119"/>
        <v>4926.1000000000004</v>
      </c>
      <c r="AZ79" s="125">
        <f>RCFs!C$39</f>
        <v>18.946666666666665</v>
      </c>
      <c r="BA79" s="124">
        <f t="shared" si="120"/>
        <v>4957.7</v>
      </c>
      <c r="BB79" s="125">
        <f>RCFs!C$41</f>
        <v>19.068114999999999</v>
      </c>
    </row>
    <row r="80" spans="1:54" s="67" customFormat="1" ht="12" customHeight="1" x14ac:dyDescent="0.3">
      <c r="A80" s="66">
        <v>1277</v>
      </c>
      <c r="B80" s="68" t="s">
        <v>254</v>
      </c>
      <c r="C80" s="46">
        <v>140</v>
      </c>
      <c r="D80" s="42">
        <f t="shared" ref="D80" si="363">ROUND(E80*C80,1)</f>
        <v>10537.6</v>
      </c>
      <c r="E80" s="123">
        <f>RCFs!C$43</f>
        <v>75.268515088574986</v>
      </c>
      <c r="F80" s="124">
        <f t="shared" ref="F80" si="364">ROUNDDOWN($C80*G80,1)</f>
        <v>2598.4</v>
      </c>
      <c r="G80" s="123">
        <f>RCFs!C$5</f>
        <v>18.559999999999999</v>
      </c>
      <c r="H80" s="124">
        <f t="shared" ref="H80" si="365">ROUNDDOWN($C80*I80,1)</f>
        <v>2598.4</v>
      </c>
      <c r="I80" s="123">
        <f>RCFs!C$5</f>
        <v>18.559999999999999</v>
      </c>
      <c r="J80" s="111">
        <f t="shared" si="264"/>
        <v>2858.2</v>
      </c>
      <c r="K80" s="111">
        <f t="shared" si="264"/>
        <v>3559.8</v>
      </c>
      <c r="L80" s="111">
        <f t="shared" si="264"/>
        <v>3819.6</v>
      </c>
      <c r="M80" s="111">
        <f t="shared" si="264"/>
        <v>4209.3999999999996</v>
      </c>
      <c r="N80" s="111">
        <f t="shared" si="264"/>
        <v>5196.8</v>
      </c>
      <c r="O80" s="111">
        <f t="shared" si="264"/>
        <v>5586.6</v>
      </c>
      <c r="P80" s="111">
        <f t="shared" si="264"/>
        <v>7795.2</v>
      </c>
      <c r="Q80" s="42">
        <f t="shared" ref="Q80" si="366">ROUNDDOWN(R80*C80,1)</f>
        <v>2702.4</v>
      </c>
      <c r="R80" s="125">
        <f>RCFs!C$7</f>
        <v>19.303333333333335</v>
      </c>
      <c r="S80" s="111">
        <f t="shared" si="265"/>
        <v>3513.1</v>
      </c>
      <c r="T80" s="111">
        <f t="shared" si="265"/>
        <v>4053.6</v>
      </c>
      <c r="U80" s="42">
        <f t="shared" ref="U80" si="367">ROUND(V80*C80,1)</f>
        <v>2579.1999999999998</v>
      </c>
      <c r="V80" s="125">
        <f>RCFs!C$9</f>
        <v>18.422999999999998</v>
      </c>
      <c r="W80" s="42">
        <f t="shared" ref="W80" si="368">ROUND(X80*C80,1)</f>
        <v>2579.1999999999998</v>
      </c>
      <c r="X80" s="125">
        <f t="shared" ref="X80" si="369">V80</f>
        <v>18.422999999999998</v>
      </c>
      <c r="Y80" s="111">
        <f t="shared" si="73"/>
        <v>2837.1</v>
      </c>
      <c r="Z80" s="111">
        <f t="shared" si="266"/>
        <v>3533.5</v>
      </c>
      <c r="AA80" s="111">
        <f t="shared" si="266"/>
        <v>4178.3</v>
      </c>
      <c r="AB80" s="111">
        <f t="shared" si="266"/>
        <v>3791.5</v>
      </c>
      <c r="AC80" s="111">
        <f t="shared" si="266"/>
        <v>5596.9</v>
      </c>
      <c r="AD80" s="111">
        <f t="shared" si="266"/>
        <v>7737.7</v>
      </c>
      <c r="AE80" s="42">
        <f t="shared" ref="AE80" si="370">ROUND(AF80*C80,1)</f>
        <v>2678.7</v>
      </c>
      <c r="AF80" s="125">
        <f>RCFs!C$13</f>
        <v>19.133333333333333</v>
      </c>
      <c r="AG80" s="110">
        <f t="shared" si="267"/>
        <v>4419.8999999999996</v>
      </c>
      <c r="AH80" s="110">
        <f t="shared" si="267"/>
        <v>5625.3</v>
      </c>
      <c r="AI80" s="110">
        <f t="shared" si="267"/>
        <v>8036.1</v>
      </c>
      <c r="AJ80" s="42">
        <f t="shared" ref="AJ80" si="371">ROUNDDOWN(C80*AK80,1)</f>
        <v>2652.5</v>
      </c>
      <c r="AK80" s="125">
        <f>RCFs!C$25</f>
        <v>18.946666666666665</v>
      </c>
      <c r="AL80" s="42">
        <f t="shared" ref="AL80" si="372">ROUNDDOWN(C80*AM80,1)</f>
        <v>3513</v>
      </c>
      <c r="AM80" s="125">
        <f>RCFs!C$29</f>
        <v>25.09333333333333</v>
      </c>
      <c r="AN80" s="42">
        <f t="shared" ref="AN80" si="373">ROUNDDOWN(C80*AO80,1)</f>
        <v>2816.9</v>
      </c>
      <c r="AO80" s="125">
        <f>RCFs!C$33</f>
        <v>20.121274</v>
      </c>
      <c r="AP80" s="110">
        <f t="shared" ref="AP80" si="374">ROUNDDOWN(AN80*AP$6,1)</f>
        <v>4225.3</v>
      </c>
      <c r="AQ80" s="124">
        <f t="shared" ref="AQ80" si="375">ROUNDDOWN($C80*AR80,1)</f>
        <v>3666.6</v>
      </c>
      <c r="AR80" s="125">
        <f>RCFs!C$35</f>
        <v>26.19</v>
      </c>
      <c r="AS80" s="110">
        <f t="shared" ref="AS80" si="376">ROUNDDOWN(AQ80*AS$6,1)</f>
        <v>4766.5</v>
      </c>
      <c r="AT80" s="110">
        <f t="shared" ref="AT80" si="377">ROUNDDOWN(AR80*AT$6,1)</f>
        <v>37.9</v>
      </c>
      <c r="AU80" s="124">
        <f t="shared" ref="AU80" si="378">ROUNDDOWN($C80*AV80,1)</f>
        <v>2728.1</v>
      </c>
      <c r="AV80" s="124">
        <f>RCFs!C$37</f>
        <v>19.486666666666668</v>
      </c>
      <c r="AW80" s="124">
        <f t="shared" ref="AW80" si="379">ROUNDDOWN(AX80*C80,1)</f>
        <v>2775.7</v>
      </c>
      <c r="AX80" s="125">
        <f>RCFs!C$64</f>
        <v>19.826666666666664</v>
      </c>
      <c r="AY80" s="124">
        <f t="shared" ref="AY80" si="380">ROUNDDOWN($C80*AZ80,1)</f>
        <v>2652.5</v>
      </c>
      <c r="AZ80" s="125">
        <f>RCFs!C$39</f>
        <v>18.946666666666665</v>
      </c>
      <c r="BA80" s="124">
        <f t="shared" ref="BA80" si="381">ROUNDDOWN($C80*BB80,1)</f>
        <v>2669.5</v>
      </c>
      <c r="BB80" s="125">
        <f>RCFs!C$41</f>
        <v>19.068114999999999</v>
      </c>
    </row>
    <row r="81" spans="1:54" s="67" customFormat="1" ht="12" customHeight="1" x14ac:dyDescent="0.3">
      <c r="A81" s="66">
        <v>1278</v>
      </c>
      <c r="B81" s="68" t="s">
        <v>255</v>
      </c>
      <c r="C81" s="46">
        <v>60</v>
      </c>
      <c r="D81" s="42">
        <f t="shared" ref="D81" si="382">ROUND(E81*C81,1)</f>
        <v>4516.1000000000004</v>
      </c>
      <c r="E81" s="123">
        <f>RCFs!C$43</f>
        <v>75.268515088574986</v>
      </c>
      <c r="F81" s="124">
        <f t="shared" ref="F81" si="383">ROUNDDOWN($C81*G81,1)</f>
        <v>1113.5999999999999</v>
      </c>
      <c r="G81" s="123">
        <f>RCFs!C$5</f>
        <v>18.559999999999999</v>
      </c>
      <c r="H81" s="124">
        <f t="shared" ref="H81" si="384">ROUNDDOWN($C81*I81,1)</f>
        <v>1113.5999999999999</v>
      </c>
      <c r="I81" s="123">
        <f>RCFs!C$5</f>
        <v>18.559999999999999</v>
      </c>
      <c r="J81" s="111">
        <f t="shared" si="264"/>
        <v>1225</v>
      </c>
      <c r="K81" s="111">
        <f t="shared" si="264"/>
        <v>1525.6</v>
      </c>
      <c r="L81" s="111">
        <f t="shared" si="264"/>
        <v>1637</v>
      </c>
      <c r="M81" s="111">
        <f t="shared" si="264"/>
        <v>1804</v>
      </c>
      <c r="N81" s="111">
        <f t="shared" si="264"/>
        <v>2227.1999999999998</v>
      </c>
      <c r="O81" s="111">
        <f t="shared" si="264"/>
        <v>2394.1999999999998</v>
      </c>
      <c r="P81" s="111">
        <f t="shared" si="264"/>
        <v>3340.8</v>
      </c>
      <c r="Q81" s="42">
        <f t="shared" ref="Q81" si="385">ROUNDDOWN(R81*C81,1)</f>
        <v>1158.2</v>
      </c>
      <c r="R81" s="125">
        <f>RCFs!C$7</f>
        <v>19.303333333333335</v>
      </c>
      <c r="S81" s="111">
        <f t="shared" si="265"/>
        <v>1505.6</v>
      </c>
      <c r="T81" s="111">
        <f t="shared" si="265"/>
        <v>1737.3</v>
      </c>
      <c r="U81" s="42">
        <f t="shared" ref="U81" si="386">ROUND(V81*C81,1)</f>
        <v>1105.4000000000001</v>
      </c>
      <c r="V81" s="125">
        <f>RCFs!C$9</f>
        <v>18.422999999999998</v>
      </c>
      <c r="W81" s="42">
        <f t="shared" ref="W81" si="387">ROUND(X81*C81,1)</f>
        <v>1105.4000000000001</v>
      </c>
      <c r="X81" s="125">
        <f t="shared" ref="X81" si="388">V81</f>
        <v>18.422999999999998</v>
      </c>
      <c r="Y81" s="111">
        <f t="shared" si="73"/>
        <v>1215.9000000000001</v>
      </c>
      <c r="Z81" s="111">
        <f t="shared" si="266"/>
        <v>1514.4</v>
      </c>
      <c r="AA81" s="111">
        <f t="shared" si="266"/>
        <v>1790.7</v>
      </c>
      <c r="AB81" s="111">
        <f t="shared" si="266"/>
        <v>1624.9</v>
      </c>
      <c r="AC81" s="111">
        <f t="shared" si="266"/>
        <v>2398.6999999999998</v>
      </c>
      <c r="AD81" s="111">
        <f t="shared" si="266"/>
        <v>3316.1</v>
      </c>
      <c r="AE81" s="42">
        <f t="shared" ref="AE81" si="389">ROUND(AF81*C81,1)</f>
        <v>1148</v>
      </c>
      <c r="AF81" s="125">
        <f>RCFs!C$13</f>
        <v>19.133333333333333</v>
      </c>
      <c r="AG81" s="110">
        <f t="shared" si="267"/>
        <v>1894.2</v>
      </c>
      <c r="AH81" s="110">
        <f t="shared" si="267"/>
        <v>2410.8000000000002</v>
      </c>
      <c r="AI81" s="110">
        <f t="shared" si="267"/>
        <v>3444</v>
      </c>
      <c r="AJ81" s="42">
        <f t="shared" ref="AJ81" si="390">ROUNDDOWN(C81*AK81,1)</f>
        <v>1136.8</v>
      </c>
      <c r="AK81" s="125">
        <f>RCFs!C$25</f>
        <v>18.946666666666665</v>
      </c>
      <c r="AL81" s="42">
        <f t="shared" ref="AL81" si="391">ROUNDDOWN(C81*AM81,1)</f>
        <v>1505.6</v>
      </c>
      <c r="AM81" s="125">
        <f>RCFs!C$29</f>
        <v>25.09333333333333</v>
      </c>
      <c r="AN81" s="42">
        <f t="shared" ref="AN81" si="392">ROUNDDOWN(C81*AO81,1)</f>
        <v>1207.2</v>
      </c>
      <c r="AO81" s="125">
        <f>RCFs!C$33</f>
        <v>20.121274</v>
      </c>
      <c r="AP81" s="110">
        <f t="shared" ref="AP81" si="393">ROUNDDOWN(AN81*AP$6,1)</f>
        <v>1810.8</v>
      </c>
      <c r="AQ81" s="124">
        <f t="shared" ref="AQ81" si="394">ROUNDDOWN($C81*AR81,1)</f>
        <v>1571.4</v>
      </c>
      <c r="AR81" s="125">
        <f>RCFs!C$35</f>
        <v>26.19</v>
      </c>
      <c r="AS81" s="110">
        <f t="shared" ref="AS81" si="395">ROUNDDOWN(AQ81*AS$6,1)</f>
        <v>2042.8</v>
      </c>
      <c r="AT81" s="110">
        <f t="shared" ref="AT81" si="396">ROUNDDOWN(AR81*AT$6,1)</f>
        <v>37.9</v>
      </c>
      <c r="AU81" s="124">
        <f t="shared" ref="AU81" si="397">ROUNDDOWN($C81*AV81,1)</f>
        <v>1169.2</v>
      </c>
      <c r="AV81" s="124">
        <f>RCFs!C$37</f>
        <v>19.486666666666668</v>
      </c>
      <c r="AW81" s="124">
        <f t="shared" ref="AW81" si="398">ROUNDDOWN(AX81*C81,1)</f>
        <v>1189.5999999999999</v>
      </c>
      <c r="AX81" s="125">
        <f>RCFs!C$64</f>
        <v>19.826666666666664</v>
      </c>
      <c r="AY81" s="124">
        <f t="shared" ref="AY81" si="399">ROUNDDOWN($C81*AZ81,1)</f>
        <v>1136.8</v>
      </c>
      <c r="AZ81" s="125">
        <f>RCFs!C$39</f>
        <v>18.946666666666665</v>
      </c>
      <c r="BA81" s="124">
        <f t="shared" ref="BA81" si="400">ROUNDDOWN($C81*BB81,1)</f>
        <v>1144</v>
      </c>
      <c r="BB81" s="125">
        <f>RCFs!C$41</f>
        <v>19.068114999999999</v>
      </c>
    </row>
    <row r="82" spans="1:54" s="67" customFormat="1" ht="12" customHeight="1" x14ac:dyDescent="0.3">
      <c r="A82" s="66">
        <v>1280</v>
      </c>
      <c r="B82" s="68" t="s">
        <v>256</v>
      </c>
      <c r="C82" s="46">
        <v>60</v>
      </c>
      <c r="D82" s="42">
        <f t="shared" ref="D82" si="401">ROUND(E82*C82,1)</f>
        <v>4516.1000000000004</v>
      </c>
      <c r="E82" s="123">
        <f>RCFs!C$43</f>
        <v>75.268515088574986</v>
      </c>
      <c r="F82" s="124">
        <f t="shared" ref="F82" si="402">ROUNDDOWN($C82*G82,1)</f>
        <v>1113.5999999999999</v>
      </c>
      <c r="G82" s="123">
        <f>RCFs!C$5</f>
        <v>18.559999999999999</v>
      </c>
      <c r="H82" s="124">
        <f t="shared" ref="H82" si="403">ROUNDDOWN($C82*I82,1)</f>
        <v>1113.5999999999999</v>
      </c>
      <c r="I82" s="123">
        <f>RCFs!C$5</f>
        <v>18.559999999999999</v>
      </c>
      <c r="J82" s="111">
        <f t="shared" si="264"/>
        <v>1225</v>
      </c>
      <c r="K82" s="111">
        <f t="shared" si="264"/>
        <v>1525.6</v>
      </c>
      <c r="L82" s="111">
        <f t="shared" si="264"/>
        <v>1637</v>
      </c>
      <c r="M82" s="111">
        <f t="shared" si="264"/>
        <v>1804</v>
      </c>
      <c r="N82" s="111">
        <f t="shared" si="264"/>
        <v>2227.1999999999998</v>
      </c>
      <c r="O82" s="111">
        <f t="shared" si="264"/>
        <v>2394.1999999999998</v>
      </c>
      <c r="P82" s="111">
        <f t="shared" si="264"/>
        <v>3340.8</v>
      </c>
      <c r="Q82" s="42">
        <f t="shared" ref="Q82" si="404">ROUNDDOWN(R82*C82,1)</f>
        <v>1158.2</v>
      </c>
      <c r="R82" s="125">
        <f>RCFs!C$7</f>
        <v>19.303333333333335</v>
      </c>
      <c r="S82" s="111">
        <f t="shared" si="265"/>
        <v>1505.6</v>
      </c>
      <c r="T82" s="111">
        <f t="shared" si="265"/>
        <v>1737.3</v>
      </c>
      <c r="U82" s="42">
        <f t="shared" ref="U82" si="405">ROUND(V82*C82,1)</f>
        <v>1105.4000000000001</v>
      </c>
      <c r="V82" s="125">
        <f>RCFs!C$9</f>
        <v>18.422999999999998</v>
      </c>
      <c r="W82" s="42">
        <f t="shared" ref="W82" si="406">ROUND(X82*C82,1)</f>
        <v>1105.4000000000001</v>
      </c>
      <c r="X82" s="125">
        <f t="shared" ref="X82" si="407">V82</f>
        <v>18.422999999999998</v>
      </c>
      <c r="Y82" s="111">
        <f t="shared" si="73"/>
        <v>1215.9000000000001</v>
      </c>
      <c r="Z82" s="111">
        <f t="shared" si="266"/>
        <v>1514.4</v>
      </c>
      <c r="AA82" s="111">
        <f t="shared" si="266"/>
        <v>1790.7</v>
      </c>
      <c r="AB82" s="111">
        <f t="shared" si="266"/>
        <v>1624.9</v>
      </c>
      <c r="AC82" s="111">
        <f t="shared" si="266"/>
        <v>2398.6999999999998</v>
      </c>
      <c r="AD82" s="111">
        <f t="shared" si="266"/>
        <v>3316.1</v>
      </c>
      <c r="AE82" s="42">
        <f t="shared" ref="AE82" si="408">ROUND(AF82*C82,1)</f>
        <v>1148</v>
      </c>
      <c r="AF82" s="125">
        <f>RCFs!C$13</f>
        <v>19.133333333333333</v>
      </c>
      <c r="AG82" s="110">
        <f t="shared" si="267"/>
        <v>1894.2</v>
      </c>
      <c r="AH82" s="110">
        <f t="shared" si="267"/>
        <v>2410.8000000000002</v>
      </c>
      <c r="AI82" s="110">
        <f t="shared" si="267"/>
        <v>3444</v>
      </c>
      <c r="AJ82" s="42">
        <f t="shared" ref="AJ82" si="409">ROUNDDOWN(C82*AK82,1)</f>
        <v>1136.8</v>
      </c>
      <c r="AK82" s="125">
        <f>RCFs!C$25</f>
        <v>18.946666666666665</v>
      </c>
      <c r="AL82" s="42">
        <f t="shared" ref="AL82" si="410">ROUNDDOWN(C82*AM82,1)</f>
        <v>1505.6</v>
      </c>
      <c r="AM82" s="125">
        <f>RCFs!C$29</f>
        <v>25.09333333333333</v>
      </c>
      <c r="AN82" s="42">
        <f t="shared" ref="AN82" si="411">ROUNDDOWN(C82*AO82,1)</f>
        <v>1207.2</v>
      </c>
      <c r="AO82" s="125">
        <f>RCFs!C$33</f>
        <v>20.121274</v>
      </c>
      <c r="AP82" s="110">
        <f t="shared" ref="AP82" si="412">ROUNDDOWN(AN82*AP$6,1)</f>
        <v>1810.8</v>
      </c>
      <c r="AQ82" s="124">
        <f t="shared" ref="AQ82" si="413">ROUNDDOWN($C82*AR82,1)</f>
        <v>1571.4</v>
      </c>
      <c r="AR82" s="125">
        <f>RCFs!C$35</f>
        <v>26.19</v>
      </c>
      <c r="AS82" s="110">
        <f t="shared" ref="AS82" si="414">ROUNDDOWN(AQ82*AS$6,1)</f>
        <v>2042.8</v>
      </c>
      <c r="AT82" s="110">
        <f t="shared" ref="AT82" si="415">ROUNDDOWN(AR82*AT$6,1)</f>
        <v>37.9</v>
      </c>
      <c r="AU82" s="124">
        <f t="shared" ref="AU82" si="416">ROUNDDOWN($C82*AV82,1)</f>
        <v>1169.2</v>
      </c>
      <c r="AV82" s="124">
        <f>RCFs!C$37</f>
        <v>19.486666666666668</v>
      </c>
      <c r="AW82" s="124">
        <f t="shared" ref="AW82" si="417">ROUNDDOWN(AX82*C82,1)</f>
        <v>1189.5999999999999</v>
      </c>
      <c r="AX82" s="125">
        <f>RCFs!C$64</f>
        <v>19.826666666666664</v>
      </c>
      <c r="AY82" s="124">
        <f t="shared" ref="AY82" si="418">ROUNDDOWN($C82*AZ82,1)</f>
        <v>1136.8</v>
      </c>
      <c r="AZ82" s="125">
        <f>RCFs!C$39</f>
        <v>18.946666666666665</v>
      </c>
      <c r="BA82" s="124">
        <f t="shared" ref="BA82" si="419">ROUNDDOWN($C82*BB82,1)</f>
        <v>1144</v>
      </c>
      <c r="BB82" s="125">
        <f>RCFs!C$41</f>
        <v>19.068114999999999</v>
      </c>
    </row>
    <row r="83" spans="1:54" s="67" customFormat="1" ht="12" customHeight="1" x14ac:dyDescent="0.3">
      <c r="A83" s="66">
        <v>1284</v>
      </c>
      <c r="B83" s="68" t="s">
        <v>257</v>
      </c>
      <c r="C83" s="46">
        <v>300</v>
      </c>
      <c r="D83" s="42">
        <f t="shared" ref="D83" si="420">ROUND(E83*C83,1)</f>
        <v>22580.6</v>
      </c>
      <c r="E83" s="123">
        <f>RCFs!C$43</f>
        <v>75.268515088574986</v>
      </c>
      <c r="F83" s="124">
        <f t="shared" ref="F83" si="421">ROUNDDOWN($C83*G83,1)</f>
        <v>5568</v>
      </c>
      <c r="G83" s="123">
        <f>RCFs!C$5</f>
        <v>18.559999999999999</v>
      </c>
      <c r="H83" s="124">
        <f t="shared" ref="H83" si="422">ROUNDDOWN($C83*I83,1)</f>
        <v>5568</v>
      </c>
      <c r="I83" s="123">
        <f>RCFs!C$5</f>
        <v>18.559999999999999</v>
      </c>
      <c r="J83" s="111">
        <f t="shared" si="264"/>
        <v>6124.8</v>
      </c>
      <c r="K83" s="111">
        <f t="shared" si="264"/>
        <v>7628.2</v>
      </c>
      <c r="L83" s="111">
        <f t="shared" si="264"/>
        <v>8185</v>
      </c>
      <c r="M83" s="111">
        <f t="shared" si="264"/>
        <v>9020.2000000000007</v>
      </c>
      <c r="N83" s="111">
        <f t="shared" si="264"/>
        <v>11136</v>
      </c>
      <c r="O83" s="111">
        <f t="shared" si="264"/>
        <v>11971.2</v>
      </c>
      <c r="P83" s="111">
        <f t="shared" si="264"/>
        <v>16704</v>
      </c>
      <c r="Q83" s="42">
        <f t="shared" ref="Q83" si="423">ROUNDDOWN(R83*C83,1)</f>
        <v>5791</v>
      </c>
      <c r="R83" s="125">
        <f>RCFs!C$7</f>
        <v>19.303333333333335</v>
      </c>
      <c r="S83" s="111">
        <f t="shared" si="265"/>
        <v>7528.3</v>
      </c>
      <c r="T83" s="111">
        <f t="shared" si="265"/>
        <v>8686.5</v>
      </c>
      <c r="U83" s="42">
        <f t="shared" ref="U83" si="424">ROUND(V83*C83,1)</f>
        <v>5526.9</v>
      </c>
      <c r="V83" s="125">
        <f>RCFs!C$9</f>
        <v>18.422999999999998</v>
      </c>
      <c r="W83" s="42">
        <f t="shared" ref="W83" si="425">ROUND(X83*C83,1)</f>
        <v>5526.9</v>
      </c>
      <c r="X83" s="125">
        <f t="shared" ref="X83" si="426">V83</f>
        <v>18.422999999999998</v>
      </c>
      <c r="Y83" s="111">
        <f t="shared" si="73"/>
        <v>6079.5</v>
      </c>
      <c r="Z83" s="111">
        <f t="shared" si="266"/>
        <v>7571.9</v>
      </c>
      <c r="AA83" s="111">
        <f t="shared" si="266"/>
        <v>8953.6</v>
      </c>
      <c r="AB83" s="111">
        <f t="shared" si="266"/>
        <v>8124.5</v>
      </c>
      <c r="AC83" s="111">
        <f t="shared" si="266"/>
        <v>11993.4</v>
      </c>
      <c r="AD83" s="111">
        <f t="shared" si="266"/>
        <v>16580.7</v>
      </c>
      <c r="AE83" s="42">
        <f t="shared" ref="AE83" si="427">ROUND(AF83*C83,1)</f>
        <v>5740</v>
      </c>
      <c r="AF83" s="125">
        <f>RCFs!C$13</f>
        <v>19.133333333333333</v>
      </c>
      <c r="AG83" s="110">
        <f t="shared" si="267"/>
        <v>9471</v>
      </c>
      <c r="AH83" s="110">
        <f t="shared" si="267"/>
        <v>12054</v>
      </c>
      <c r="AI83" s="110">
        <f t="shared" si="267"/>
        <v>17220</v>
      </c>
      <c r="AJ83" s="42">
        <f t="shared" ref="AJ83" si="428">ROUNDDOWN(C83*AK83,1)</f>
        <v>5684</v>
      </c>
      <c r="AK83" s="125">
        <f>RCFs!C$25</f>
        <v>18.946666666666665</v>
      </c>
      <c r="AL83" s="42">
        <f t="shared" ref="AL83" si="429">ROUNDDOWN(C83*AM83,1)</f>
        <v>7528</v>
      </c>
      <c r="AM83" s="125">
        <f>RCFs!C$29</f>
        <v>25.09333333333333</v>
      </c>
      <c r="AN83" s="42">
        <f t="shared" ref="AN83" si="430">ROUNDDOWN(C83*AO83,1)</f>
        <v>6036.3</v>
      </c>
      <c r="AO83" s="125">
        <f>RCFs!C$33</f>
        <v>20.121274</v>
      </c>
      <c r="AP83" s="110">
        <f t="shared" ref="AP83" si="431">ROUNDDOWN(AN83*AP$6,1)</f>
        <v>9054.4</v>
      </c>
      <c r="AQ83" s="124">
        <f t="shared" ref="AQ83" si="432">ROUNDDOWN($C83*AR83,1)</f>
        <v>7857</v>
      </c>
      <c r="AR83" s="125">
        <f>RCFs!C$35</f>
        <v>26.19</v>
      </c>
      <c r="AS83" s="110">
        <f t="shared" ref="AS83" si="433">ROUNDDOWN(AQ83*AS$6,1)</f>
        <v>10214.1</v>
      </c>
      <c r="AT83" s="110">
        <f t="shared" ref="AT83" si="434">ROUNDDOWN(AR83*AT$6,1)</f>
        <v>37.9</v>
      </c>
      <c r="AU83" s="124">
        <f t="shared" ref="AU83" si="435">ROUNDDOWN($C83*AV83,1)</f>
        <v>5846</v>
      </c>
      <c r="AV83" s="124">
        <f>RCFs!C$37</f>
        <v>19.486666666666668</v>
      </c>
      <c r="AW83" s="124">
        <f t="shared" ref="AW83" si="436">ROUNDDOWN(AX83*C83,1)</f>
        <v>5948</v>
      </c>
      <c r="AX83" s="125">
        <f>RCFs!C$64</f>
        <v>19.826666666666664</v>
      </c>
      <c r="AY83" s="124">
        <f t="shared" ref="AY83" si="437">ROUNDDOWN($C83*AZ83,1)</f>
        <v>5684</v>
      </c>
      <c r="AZ83" s="125">
        <f>RCFs!C$39</f>
        <v>18.946666666666665</v>
      </c>
      <c r="BA83" s="124">
        <f t="shared" ref="BA83" si="438">ROUNDDOWN($C83*BB83,1)</f>
        <v>5720.4</v>
      </c>
      <c r="BB83" s="125">
        <f>RCFs!C$41</f>
        <v>19.068114999999999</v>
      </c>
    </row>
    <row r="84" spans="1:54" s="67" customFormat="1" x14ac:dyDescent="0.3">
      <c r="A84" s="66">
        <v>1286</v>
      </c>
      <c r="B84" s="68" t="s">
        <v>192</v>
      </c>
      <c r="C84" s="46">
        <v>100</v>
      </c>
      <c r="D84" s="42">
        <f t="shared" si="121"/>
        <v>7526.9</v>
      </c>
      <c r="E84" s="123">
        <f>RCFs!C$43</f>
        <v>75.268515088574986</v>
      </c>
      <c r="F84" s="124">
        <f t="shared" si="105"/>
        <v>1856</v>
      </c>
      <c r="G84" s="123">
        <f>RCFs!C$5</f>
        <v>18.559999999999999</v>
      </c>
      <c r="H84" s="124">
        <f t="shared" si="106"/>
        <v>1856</v>
      </c>
      <c r="I84" s="123">
        <f>RCFs!C$5</f>
        <v>18.559999999999999</v>
      </c>
      <c r="J84" s="111">
        <f t="shared" si="264"/>
        <v>2041.6</v>
      </c>
      <c r="K84" s="111">
        <f t="shared" si="264"/>
        <v>2542.6999999999998</v>
      </c>
      <c r="L84" s="111">
        <f t="shared" si="264"/>
        <v>2728.3</v>
      </c>
      <c r="M84" s="111">
        <f t="shared" si="264"/>
        <v>3006.7</v>
      </c>
      <c r="N84" s="111">
        <f t="shared" si="264"/>
        <v>3712</v>
      </c>
      <c r="O84" s="111">
        <f t="shared" si="264"/>
        <v>3990.4</v>
      </c>
      <c r="P84" s="111">
        <f t="shared" si="264"/>
        <v>5568</v>
      </c>
      <c r="Q84" s="42">
        <f t="shared" si="107"/>
        <v>1930.3</v>
      </c>
      <c r="R84" s="125">
        <f>RCFs!C$7</f>
        <v>19.303333333333335</v>
      </c>
      <c r="S84" s="111">
        <f t="shared" si="265"/>
        <v>2509.3000000000002</v>
      </c>
      <c r="T84" s="111">
        <f t="shared" si="265"/>
        <v>2895.4</v>
      </c>
      <c r="U84" s="42">
        <f t="shared" si="108"/>
        <v>1842.3</v>
      </c>
      <c r="V84" s="125">
        <f>RCFs!C$9</f>
        <v>18.422999999999998</v>
      </c>
      <c r="W84" s="42">
        <f t="shared" si="124"/>
        <v>1842.3</v>
      </c>
      <c r="X84" s="125">
        <f t="shared" si="149"/>
        <v>18.422999999999998</v>
      </c>
      <c r="Y84" s="111">
        <f t="shared" si="73"/>
        <v>2026.5</v>
      </c>
      <c r="Z84" s="111">
        <f t="shared" si="266"/>
        <v>2524</v>
      </c>
      <c r="AA84" s="111">
        <f t="shared" si="266"/>
        <v>2984.5</v>
      </c>
      <c r="AB84" s="111">
        <f t="shared" si="266"/>
        <v>2708.2</v>
      </c>
      <c r="AC84" s="111">
        <f t="shared" si="266"/>
        <v>3997.8</v>
      </c>
      <c r="AD84" s="111">
        <f t="shared" si="266"/>
        <v>5526.9</v>
      </c>
      <c r="AE84" s="42">
        <f t="shared" si="126"/>
        <v>1913.3</v>
      </c>
      <c r="AF84" s="125">
        <f>RCFs!C$13</f>
        <v>19.133333333333333</v>
      </c>
      <c r="AG84" s="110">
        <f t="shared" si="267"/>
        <v>3156.9</v>
      </c>
      <c r="AH84" s="110">
        <f t="shared" si="267"/>
        <v>4017.9</v>
      </c>
      <c r="AI84" s="110">
        <f t="shared" si="267"/>
        <v>5739.9</v>
      </c>
      <c r="AJ84" s="42">
        <f t="shared" si="111"/>
        <v>1894.6</v>
      </c>
      <c r="AK84" s="125">
        <f>RCFs!C$25</f>
        <v>18.946666666666665</v>
      </c>
      <c r="AL84" s="42">
        <f t="shared" si="112"/>
        <v>2509.3000000000002</v>
      </c>
      <c r="AM84" s="125">
        <f>RCFs!C$29</f>
        <v>25.09333333333333</v>
      </c>
      <c r="AN84" s="42">
        <f t="shared" si="113"/>
        <v>2012.1</v>
      </c>
      <c r="AO84" s="125">
        <f>RCFs!C$33</f>
        <v>20.121274</v>
      </c>
      <c r="AP84" s="110">
        <f t="shared" si="114"/>
        <v>3018.1</v>
      </c>
      <c r="AQ84" s="124">
        <f t="shared" si="115"/>
        <v>2619</v>
      </c>
      <c r="AR84" s="125">
        <f>RCFs!C$35</f>
        <v>26.19</v>
      </c>
      <c r="AS84" s="110">
        <f t="shared" si="116"/>
        <v>3404.7</v>
      </c>
      <c r="AT84" s="110">
        <f t="shared" si="117"/>
        <v>37.9</v>
      </c>
      <c r="AU84" s="124">
        <f t="shared" si="118"/>
        <v>1948.6</v>
      </c>
      <c r="AV84" s="124">
        <f>RCFs!C$37</f>
        <v>19.486666666666668</v>
      </c>
      <c r="AW84" s="124">
        <f t="shared" si="128"/>
        <v>1982.6</v>
      </c>
      <c r="AX84" s="125">
        <f>RCFs!C$64</f>
        <v>19.826666666666664</v>
      </c>
      <c r="AY84" s="124">
        <f t="shared" si="119"/>
        <v>1894.6</v>
      </c>
      <c r="AZ84" s="125">
        <f>RCFs!C$39</f>
        <v>18.946666666666665</v>
      </c>
      <c r="BA84" s="124">
        <f t="shared" si="120"/>
        <v>1906.8</v>
      </c>
      <c r="BB84" s="125">
        <f>RCFs!C$41</f>
        <v>19.068114999999999</v>
      </c>
    </row>
    <row r="85" spans="1:54" s="67" customFormat="1" x14ac:dyDescent="0.3">
      <c r="A85" s="66">
        <v>1408</v>
      </c>
      <c r="B85" s="68" t="s">
        <v>258</v>
      </c>
      <c r="C85" s="46">
        <v>91</v>
      </c>
      <c r="D85" s="42">
        <f t="shared" ref="D85" si="439">ROUND(E85*C85,1)</f>
        <v>6849.4</v>
      </c>
      <c r="E85" s="123">
        <f>RCFs!C$43</f>
        <v>75.268515088574986</v>
      </c>
      <c r="F85" s="124">
        <f t="shared" ref="F85" si="440">ROUNDDOWN($C85*G85,1)</f>
        <v>1688.9</v>
      </c>
      <c r="G85" s="123">
        <f>RCFs!C$5</f>
        <v>18.559999999999999</v>
      </c>
      <c r="H85" s="124">
        <f t="shared" ref="H85" si="441">ROUNDDOWN($C85*I85,1)</f>
        <v>1688.9</v>
      </c>
      <c r="I85" s="123">
        <f>RCFs!C$5</f>
        <v>18.559999999999999</v>
      </c>
      <c r="J85" s="111">
        <f t="shared" si="264"/>
        <v>1857.9</v>
      </c>
      <c r="K85" s="111">
        <f t="shared" si="264"/>
        <v>2313.9</v>
      </c>
      <c r="L85" s="111">
        <f t="shared" si="264"/>
        <v>2482.8000000000002</v>
      </c>
      <c r="M85" s="111">
        <f t="shared" si="264"/>
        <v>2736.1</v>
      </c>
      <c r="N85" s="111">
        <f t="shared" si="264"/>
        <v>3377.9</v>
      </c>
      <c r="O85" s="111">
        <f t="shared" si="264"/>
        <v>3631.3</v>
      </c>
      <c r="P85" s="111">
        <f t="shared" si="264"/>
        <v>5066.8999999999996</v>
      </c>
      <c r="Q85" s="42">
        <f t="shared" ref="Q85" si="442">ROUNDDOWN(R85*C85,1)</f>
        <v>1756.6</v>
      </c>
      <c r="R85" s="125">
        <f>RCFs!C$7</f>
        <v>19.303333333333335</v>
      </c>
      <c r="S85" s="111">
        <f t="shared" si="265"/>
        <v>2283.5</v>
      </c>
      <c r="T85" s="111">
        <f t="shared" si="265"/>
        <v>2634.9</v>
      </c>
      <c r="U85" s="42">
        <f t="shared" ref="U85" si="443">ROUND(V85*C85,1)</f>
        <v>1676.5</v>
      </c>
      <c r="V85" s="125">
        <f>RCFs!C$9</f>
        <v>18.422999999999998</v>
      </c>
      <c r="W85" s="42">
        <f t="shared" ref="W85" si="444">ROUND(X85*C85,1)</f>
        <v>1676.5</v>
      </c>
      <c r="X85" s="125">
        <f t="shared" ref="X85" si="445">V85</f>
        <v>18.422999999999998</v>
      </c>
      <c r="Y85" s="111">
        <f t="shared" si="73"/>
        <v>1844.1</v>
      </c>
      <c r="Z85" s="111">
        <f t="shared" si="266"/>
        <v>2296.8000000000002</v>
      </c>
      <c r="AA85" s="111">
        <f t="shared" si="266"/>
        <v>2715.9</v>
      </c>
      <c r="AB85" s="111">
        <f t="shared" si="266"/>
        <v>2464.4</v>
      </c>
      <c r="AC85" s="111">
        <f t="shared" si="266"/>
        <v>3638</v>
      </c>
      <c r="AD85" s="111">
        <f t="shared" si="266"/>
        <v>5029.5</v>
      </c>
      <c r="AE85" s="42">
        <f t="shared" ref="AE85" si="446">ROUND(AF85*C85,1)</f>
        <v>1741.1</v>
      </c>
      <c r="AF85" s="125">
        <f>RCFs!C$13</f>
        <v>19.133333333333333</v>
      </c>
      <c r="AG85" s="110">
        <f t="shared" si="267"/>
        <v>2872.8</v>
      </c>
      <c r="AH85" s="110">
        <f t="shared" si="267"/>
        <v>3656.3</v>
      </c>
      <c r="AI85" s="110">
        <f t="shared" si="267"/>
        <v>5223.3</v>
      </c>
      <c r="AJ85" s="42">
        <f t="shared" ref="AJ85" si="447">ROUNDDOWN(C85*AK85,1)</f>
        <v>1724.1</v>
      </c>
      <c r="AK85" s="125">
        <f>RCFs!C$25</f>
        <v>18.946666666666665</v>
      </c>
      <c r="AL85" s="42">
        <f t="shared" ref="AL85" si="448">ROUNDDOWN(C85*AM85,1)</f>
        <v>2283.4</v>
      </c>
      <c r="AM85" s="125">
        <f>RCFs!C$29</f>
        <v>25.09333333333333</v>
      </c>
      <c r="AN85" s="42">
        <f t="shared" ref="AN85" si="449">ROUNDDOWN(C85*AO85,1)</f>
        <v>1831</v>
      </c>
      <c r="AO85" s="125">
        <f>RCFs!C$33</f>
        <v>20.121274</v>
      </c>
      <c r="AP85" s="110">
        <f t="shared" ref="AP85" si="450">ROUNDDOWN(AN85*AP$6,1)</f>
        <v>2746.5</v>
      </c>
      <c r="AQ85" s="124">
        <f t="shared" ref="AQ85" si="451">ROUNDDOWN($C85*AR85,1)</f>
        <v>2383.1999999999998</v>
      </c>
      <c r="AR85" s="125">
        <f>RCFs!C$35</f>
        <v>26.19</v>
      </c>
      <c r="AS85" s="110">
        <f t="shared" ref="AS85" si="452">ROUNDDOWN(AQ85*AS$6,1)</f>
        <v>3098.1</v>
      </c>
      <c r="AT85" s="110">
        <f t="shared" ref="AT85" si="453">ROUNDDOWN(AR85*AT$6,1)</f>
        <v>37.9</v>
      </c>
      <c r="AU85" s="124">
        <f t="shared" ref="AU85" si="454">ROUNDDOWN($C85*AV85,1)</f>
        <v>1773.2</v>
      </c>
      <c r="AV85" s="124">
        <f>RCFs!C$37</f>
        <v>19.486666666666668</v>
      </c>
      <c r="AW85" s="124">
        <f t="shared" ref="AW85" si="455">ROUNDDOWN(AX85*C85,1)</f>
        <v>1804.2</v>
      </c>
      <c r="AX85" s="125">
        <f>RCFs!C$64</f>
        <v>19.826666666666664</v>
      </c>
      <c r="AY85" s="124">
        <f t="shared" ref="AY85" si="456">ROUNDDOWN($C85*AZ85,1)</f>
        <v>1724.1</v>
      </c>
      <c r="AZ85" s="125">
        <f>RCFs!C$39</f>
        <v>18.946666666666665</v>
      </c>
      <c r="BA85" s="124">
        <f t="shared" ref="BA85" si="457">ROUNDDOWN($C85*BB85,1)</f>
        <v>1735.1</v>
      </c>
      <c r="BB85" s="125">
        <f>RCFs!C$41</f>
        <v>19.068114999999999</v>
      </c>
    </row>
    <row r="86" spans="1:54" s="67" customFormat="1" x14ac:dyDescent="0.3">
      <c r="A86" s="66" t="s">
        <v>36</v>
      </c>
      <c r="B86" s="68" t="s">
        <v>48</v>
      </c>
      <c r="C86" s="46">
        <v>48.75</v>
      </c>
      <c r="D86" s="42">
        <f t="shared" si="121"/>
        <v>3669.3</v>
      </c>
      <c r="E86" s="123">
        <f>RCFs!C$43</f>
        <v>75.268515088574986</v>
      </c>
      <c r="F86" s="124">
        <f t="shared" si="105"/>
        <v>904.8</v>
      </c>
      <c r="G86" s="123">
        <f>RCFs!C$5</f>
        <v>18.559999999999999</v>
      </c>
      <c r="H86" s="124">
        <f t="shared" si="106"/>
        <v>904.8</v>
      </c>
      <c r="I86" s="123">
        <f>RCFs!C$5</f>
        <v>18.559999999999999</v>
      </c>
      <c r="J86" s="111">
        <f t="shared" si="264"/>
        <v>995.3</v>
      </c>
      <c r="K86" s="111">
        <f t="shared" si="264"/>
        <v>1239.5999999999999</v>
      </c>
      <c r="L86" s="111">
        <f t="shared" si="264"/>
        <v>1330.1</v>
      </c>
      <c r="M86" s="111">
        <f t="shared" si="264"/>
        <v>1465.8</v>
      </c>
      <c r="N86" s="111">
        <f t="shared" si="264"/>
        <v>1809.6</v>
      </c>
      <c r="O86" s="111">
        <f t="shared" si="264"/>
        <v>1945.3</v>
      </c>
      <c r="P86" s="111">
        <f t="shared" si="264"/>
        <v>2714.4</v>
      </c>
      <c r="Q86" s="42">
        <f t="shared" si="107"/>
        <v>941</v>
      </c>
      <c r="R86" s="125">
        <f>RCFs!C$7</f>
        <v>19.303333333333335</v>
      </c>
      <c r="S86" s="111">
        <f t="shared" si="265"/>
        <v>1223.3</v>
      </c>
      <c r="T86" s="111">
        <f t="shared" si="265"/>
        <v>1411.5</v>
      </c>
      <c r="U86" s="42">
        <f t="shared" si="108"/>
        <v>898.1</v>
      </c>
      <c r="V86" s="125">
        <f>RCFs!C$9</f>
        <v>18.422999999999998</v>
      </c>
      <c r="W86" s="42">
        <f t="shared" si="124"/>
        <v>898.1</v>
      </c>
      <c r="X86" s="125">
        <f t="shared" si="149"/>
        <v>18.422999999999998</v>
      </c>
      <c r="Y86" s="111">
        <f t="shared" si="73"/>
        <v>987.9</v>
      </c>
      <c r="Z86" s="111">
        <f t="shared" si="266"/>
        <v>1230.4000000000001</v>
      </c>
      <c r="AA86" s="111">
        <f t="shared" si="266"/>
        <v>1455</v>
      </c>
      <c r="AB86" s="111">
        <f t="shared" si="266"/>
        <v>1320.2</v>
      </c>
      <c r="AC86" s="111">
        <f t="shared" si="266"/>
        <v>1948.9</v>
      </c>
      <c r="AD86" s="111">
        <f t="shared" si="266"/>
        <v>2694.4</v>
      </c>
      <c r="AE86" s="42">
        <f t="shared" si="126"/>
        <v>932.8</v>
      </c>
      <c r="AF86" s="125">
        <f>RCFs!C$13</f>
        <v>19.133333333333333</v>
      </c>
      <c r="AG86" s="110">
        <f t="shared" si="267"/>
        <v>1539.1</v>
      </c>
      <c r="AH86" s="110">
        <f t="shared" si="267"/>
        <v>1958.9</v>
      </c>
      <c r="AI86" s="110">
        <f t="shared" si="267"/>
        <v>2798.4</v>
      </c>
      <c r="AJ86" s="42">
        <f t="shared" si="111"/>
        <v>923.6</v>
      </c>
      <c r="AK86" s="125">
        <f>RCFs!C$25</f>
        <v>18.946666666666665</v>
      </c>
      <c r="AL86" s="42">
        <f t="shared" si="112"/>
        <v>1223.3</v>
      </c>
      <c r="AM86" s="125">
        <f>RCFs!C$29</f>
        <v>25.09333333333333</v>
      </c>
      <c r="AN86" s="42">
        <f t="shared" si="113"/>
        <v>980.9</v>
      </c>
      <c r="AO86" s="125">
        <f>RCFs!C$33</f>
        <v>20.121274</v>
      </c>
      <c r="AP86" s="110">
        <f t="shared" si="114"/>
        <v>1471.3</v>
      </c>
      <c r="AQ86" s="124">
        <f t="shared" si="115"/>
        <v>1276.7</v>
      </c>
      <c r="AR86" s="125">
        <f>RCFs!C$35</f>
        <v>26.19</v>
      </c>
      <c r="AS86" s="110">
        <f t="shared" si="116"/>
        <v>1659.7</v>
      </c>
      <c r="AT86" s="110">
        <f t="shared" si="117"/>
        <v>37.9</v>
      </c>
      <c r="AU86" s="124">
        <f t="shared" si="118"/>
        <v>949.9</v>
      </c>
      <c r="AV86" s="124">
        <f>RCFs!C$37</f>
        <v>19.486666666666668</v>
      </c>
      <c r="AW86" s="124">
        <f t="shared" si="128"/>
        <v>966.5</v>
      </c>
      <c r="AX86" s="125">
        <f>RCFs!C$64</f>
        <v>19.826666666666664</v>
      </c>
      <c r="AY86" s="124">
        <f t="shared" si="119"/>
        <v>923.6</v>
      </c>
      <c r="AZ86" s="125">
        <f>RCFs!C$39</f>
        <v>18.946666666666665</v>
      </c>
      <c r="BA86" s="124">
        <f t="shared" si="120"/>
        <v>929.5</v>
      </c>
      <c r="BB86" s="125">
        <f>RCFs!C$41</f>
        <v>19.068114999999999</v>
      </c>
    </row>
    <row r="87" spans="1:54" s="67" customFormat="1" ht="27.6" x14ac:dyDescent="0.3">
      <c r="A87" s="66">
        <v>1642</v>
      </c>
      <c r="B87" s="68" t="s">
        <v>259</v>
      </c>
      <c r="C87" s="46">
        <v>150</v>
      </c>
      <c r="D87" s="42">
        <f t="shared" ref="D87" si="458">ROUND(E87*C87,1)</f>
        <v>11290.3</v>
      </c>
      <c r="E87" s="123">
        <f>RCFs!C$43</f>
        <v>75.268515088574986</v>
      </c>
      <c r="F87" s="124">
        <f t="shared" ref="F87" si="459">ROUNDDOWN($C87*G87,1)</f>
        <v>2784</v>
      </c>
      <c r="G87" s="123">
        <f>RCFs!C$5</f>
        <v>18.559999999999999</v>
      </c>
      <c r="H87" s="124">
        <f t="shared" ref="H87" si="460">ROUNDDOWN($C87*I87,1)</f>
        <v>2784</v>
      </c>
      <c r="I87" s="123">
        <f>RCFs!C$5</f>
        <v>18.559999999999999</v>
      </c>
      <c r="J87" s="111">
        <f t="shared" si="264"/>
        <v>3062.4</v>
      </c>
      <c r="K87" s="111">
        <f t="shared" si="264"/>
        <v>3814.1</v>
      </c>
      <c r="L87" s="111">
        <f t="shared" si="264"/>
        <v>4092.5</v>
      </c>
      <c r="M87" s="111">
        <f t="shared" si="264"/>
        <v>4510.1000000000004</v>
      </c>
      <c r="N87" s="111">
        <f t="shared" si="264"/>
        <v>5568</v>
      </c>
      <c r="O87" s="111">
        <f t="shared" si="264"/>
        <v>5985.6</v>
      </c>
      <c r="P87" s="111">
        <f t="shared" si="264"/>
        <v>8352</v>
      </c>
      <c r="Q87" s="42">
        <f t="shared" ref="Q87" si="461">ROUNDDOWN(R87*C87,1)</f>
        <v>2895.5</v>
      </c>
      <c r="R87" s="125">
        <f>RCFs!C$7</f>
        <v>19.303333333333335</v>
      </c>
      <c r="S87" s="111">
        <f t="shared" si="265"/>
        <v>3764.1</v>
      </c>
      <c r="T87" s="111">
        <f t="shared" si="265"/>
        <v>4343.2</v>
      </c>
      <c r="U87" s="42">
        <f t="shared" ref="U87" si="462">ROUND(V87*C87,1)</f>
        <v>2763.5</v>
      </c>
      <c r="V87" s="125">
        <f>RCFs!C$9</f>
        <v>18.422999999999998</v>
      </c>
      <c r="W87" s="42">
        <f t="shared" ref="W87" si="463">ROUND(X87*C87,1)</f>
        <v>2763.5</v>
      </c>
      <c r="X87" s="125">
        <f t="shared" ref="X87" si="464">V87</f>
        <v>18.422999999999998</v>
      </c>
      <c r="Y87" s="111">
        <f t="shared" si="73"/>
        <v>3039.8</v>
      </c>
      <c r="Z87" s="111">
        <f t="shared" si="266"/>
        <v>3785.9</v>
      </c>
      <c r="AA87" s="111">
        <f t="shared" si="266"/>
        <v>4476.8</v>
      </c>
      <c r="AB87" s="111">
        <f t="shared" si="266"/>
        <v>4062.3</v>
      </c>
      <c r="AC87" s="111">
        <f t="shared" si="266"/>
        <v>5996.7</v>
      </c>
      <c r="AD87" s="111">
        <f t="shared" si="266"/>
        <v>8290.4</v>
      </c>
      <c r="AE87" s="42">
        <f t="shared" ref="AE87" si="465">ROUND(AF87*C87,1)</f>
        <v>2870</v>
      </c>
      <c r="AF87" s="125">
        <f>RCFs!C$13</f>
        <v>19.133333333333333</v>
      </c>
      <c r="AG87" s="110">
        <f t="shared" si="267"/>
        <v>4735.5</v>
      </c>
      <c r="AH87" s="110">
        <f t="shared" si="267"/>
        <v>6027</v>
      </c>
      <c r="AI87" s="110">
        <f t="shared" si="267"/>
        <v>8610</v>
      </c>
      <c r="AJ87" s="42">
        <f t="shared" ref="AJ87" si="466">ROUNDDOWN(C87*AK87,1)</f>
        <v>2842</v>
      </c>
      <c r="AK87" s="125">
        <f>RCFs!C$25</f>
        <v>18.946666666666665</v>
      </c>
      <c r="AL87" s="42">
        <f t="shared" ref="AL87" si="467">ROUNDDOWN(C87*AM87,1)</f>
        <v>3764</v>
      </c>
      <c r="AM87" s="125">
        <f>RCFs!C$29</f>
        <v>25.09333333333333</v>
      </c>
      <c r="AN87" s="42">
        <f t="shared" ref="AN87" si="468">ROUNDDOWN(C87*AO87,1)</f>
        <v>3018.1</v>
      </c>
      <c r="AO87" s="125">
        <f>RCFs!C$33</f>
        <v>20.121274</v>
      </c>
      <c r="AP87" s="110">
        <f t="shared" ref="AP87" si="469">ROUNDDOWN(AN87*AP$6,1)</f>
        <v>4527.1000000000004</v>
      </c>
      <c r="AQ87" s="124">
        <f t="shared" ref="AQ87" si="470">ROUNDDOWN($C87*AR87,1)</f>
        <v>3928.5</v>
      </c>
      <c r="AR87" s="125">
        <f>RCFs!C$35</f>
        <v>26.19</v>
      </c>
      <c r="AS87" s="110">
        <f t="shared" ref="AS87" si="471">ROUNDDOWN(AQ87*AS$6,1)</f>
        <v>5107</v>
      </c>
      <c r="AT87" s="110">
        <f t="shared" ref="AT87" si="472">ROUNDDOWN(AR87*AT$6,1)</f>
        <v>37.9</v>
      </c>
      <c r="AU87" s="124">
        <f t="shared" ref="AU87" si="473">ROUNDDOWN($C87*AV87,1)</f>
        <v>2923</v>
      </c>
      <c r="AV87" s="124">
        <f>RCFs!C$37</f>
        <v>19.486666666666668</v>
      </c>
      <c r="AW87" s="124">
        <f t="shared" ref="AW87" si="474">ROUNDDOWN(AX87*C87,1)</f>
        <v>2974</v>
      </c>
      <c r="AX87" s="125">
        <f>RCFs!C$64</f>
        <v>19.826666666666664</v>
      </c>
      <c r="AY87" s="124">
        <f t="shared" ref="AY87" si="475">ROUNDDOWN($C87*AZ87,1)</f>
        <v>2842</v>
      </c>
      <c r="AZ87" s="125">
        <f>RCFs!C$39</f>
        <v>18.946666666666665</v>
      </c>
      <c r="BA87" s="124">
        <f t="shared" ref="BA87" si="476">ROUNDDOWN($C87*BB87,1)</f>
        <v>2860.2</v>
      </c>
      <c r="BB87" s="125">
        <f>RCFs!C$41</f>
        <v>19.068114999999999</v>
      </c>
    </row>
    <row r="88" spans="1:54" s="67" customFormat="1" x14ac:dyDescent="0.3">
      <c r="A88" s="66" t="s">
        <v>34</v>
      </c>
      <c r="B88" s="68" t="s">
        <v>49</v>
      </c>
      <c r="C88" s="46">
        <v>90</v>
      </c>
      <c r="D88" s="42">
        <f t="shared" si="121"/>
        <v>6774.2</v>
      </c>
      <c r="E88" s="123">
        <f>RCFs!C$43</f>
        <v>75.268515088574986</v>
      </c>
      <c r="F88" s="124">
        <f t="shared" si="105"/>
        <v>1670.4</v>
      </c>
      <c r="G88" s="123">
        <f>RCFs!C$5</f>
        <v>18.559999999999999</v>
      </c>
      <c r="H88" s="124">
        <f t="shared" si="106"/>
        <v>1670.4</v>
      </c>
      <c r="I88" s="123">
        <f>RCFs!C$5</f>
        <v>18.559999999999999</v>
      </c>
      <c r="J88" s="111">
        <f t="shared" si="264"/>
        <v>1837.4</v>
      </c>
      <c r="K88" s="111">
        <f t="shared" si="264"/>
        <v>2288.4</v>
      </c>
      <c r="L88" s="111">
        <f t="shared" si="264"/>
        <v>2455.5</v>
      </c>
      <c r="M88" s="111">
        <f t="shared" si="264"/>
        <v>2706</v>
      </c>
      <c r="N88" s="111">
        <f t="shared" si="264"/>
        <v>3340.8</v>
      </c>
      <c r="O88" s="111">
        <f t="shared" si="264"/>
        <v>3591.4</v>
      </c>
      <c r="P88" s="111">
        <f t="shared" si="264"/>
        <v>5011.2</v>
      </c>
      <c r="Q88" s="42">
        <f t="shared" si="107"/>
        <v>1737.3</v>
      </c>
      <c r="R88" s="125">
        <f>RCFs!C$7</f>
        <v>19.303333333333335</v>
      </c>
      <c r="S88" s="111">
        <f t="shared" si="265"/>
        <v>2258.4</v>
      </c>
      <c r="T88" s="111">
        <f t="shared" si="265"/>
        <v>2605.9</v>
      </c>
      <c r="U88" s="42">
        <f t="shared" si="108"/>
        <v>1658.1</v>
      </c>
      <c r="V88" s="125">
        <f>RCFs!C$9</f>
        <v>18.422999999999998</v>
      </c>
      <c r="W88" s="42">
        <f t="shared" si="124"/>
        <v>1658.1</v>
      </c>
      <c r="X88" s="125">
        <f t="shared" si="149"/>
        <v>18.422999999999998</v>
      </c>
      <c r="Y88" s="111">
        <f t="shared" si="73"/>
        <v>1823.9</v>
      </c>
      <c r="Z88" s="111">
        <f t="shared" si="266"/>
        <v>2271.6</v>
      </c>
      <c r="AA88" s="111">
        <f t="shared" si="266"/>
        <v>2686.1</v>
      </c>
      <c r="AB88" s="111">
        <f t="shared" si="266"/>
        <v>2437.4</v>
      </c>
      <c r="AC88" s="111">
        <f t="shared" si="266"/>
        <v>3598</v>
      </c>
      <c r="AD88" s="111">
        <f t="shared" si="266"/>
        <v>4974.2</v>
      </c>
      <c r="AE88" s="42">
        <f t="shared" si="126"/>
        <v>1722</v>
      </c>
      <c r="AF88" s="125">
        <f>RCFs!C$13</f>
        <v>19.133333333333333</v>
      </c>
      <c r="AG88" s="110">
        <f t="shared" si="267"/>
        <v>2841.3</v>
      </c>
      <c r="AH88" s="110">
        <f t="shared" si="267"/>
        <v>3616.2</v>
      </c>
      <c r="AI88" s="110">
        <f t="shared" si="267"/>
        <v>5166</v>
      </c>
      <c r="AJ88" s="42">
        <f t="shared" si="111"/>
        <v>1705.2</v>
      </c>
      <c r="AK88" s="125">
        <f>RCFs!C$25</f>
        <v>18.946666666666665</v>
      </c>
      <c r="AL88" s="42">
        <f t="shared" si="112"/>
        <v>2258.4</v>
      </c>
      <c r="AM88" s="125">
        <f>RCFs!C$29</f>
        <v>25.09333333333333</v>
      </c>
      <c r="AN88" s="42">
        <f t="shared" si="113"/>
        <v>1810.9</v>
      </c>
      <c r="AO88" s="125">
        <f>RCFs!C$33</f>
        <v>20.121274</v>
      </c>
      <c r="AP88" s="110">
        <f t="shared" si="114"/>
        <v>2716.3</v>
      </c>
      <c r="AQ88" s="124">
        <f t="shared" si="115"/>
        <v>2357.1</v>
      </c>
      <c r="AR88" s="125">
        <f>RCFs!C$35</f>
        <v>26.19</v>
      </c>
      <c r="AS88" s="110">
        <f t="shared" si="116"/>
        <v>3064.2</v>
      </c>
      <c r="AT88" s="110">
        <f t="shared" si="117"/>
        <v>37.9</v>
      </c>
      <c r="AU88" s="124">
        <f t="shared" si="118"/>
        <v>1753.8</v>
      </c>
      <c r="AV88" s="124">
        <f>RCFs!C$37</f>
        <v>19.486666666666668</v>
      </c>
      <c r="AW88" s="124">
        <f t="shared" si="128"/>
        <v>1784.4</v>
      </c>
      <c r="AX88" s="125">
        <f>RCFs!C$64</f>
        <v>19.826666666666664</v>
      </c>
      <c r="AY88" s="124">
        <f t="shared" si="119"/>
        <v>1705.2</v>
      </c>
      <c r="AZ88" s="125">
        <f>RCFs!C$39</f>
        <v>18.946666666666665</v>
      </c>
      <c r="BA88" s="124">
        <f t="shared" si="120"/>
        <v>1716.1</v>
      </c>
      <c r="BB88" s="125">
        <f>RCFs!C$41</f>
        <v>19.068114999999999</v>
      </c>
    </row>
    <row r="89" spans="1:54" s="67" customFormat="1" ht="27.6" x14ac:dyDescent="0.3">
      <c r="A89" s="66">
        <v>1654</v>
      </c>
      <c r="B89" s="68" t="s">
        <v>193</v>
      </c>
      <c r="C89" s="46">
        <v>30</v>
      </c>
      <c r="D89" s="42">
        <f t="shared" si="121"/>
        <v>2258.1</v>
      </c>
      <c r="E89" s="123">
        <f>RCFs!C$43</f>
        <v>75.268515088574986</v>
      </c>
      <c r="F89" s="124">
        <f t="shared" si="105"/>
        <v>556.79999999999995</v>
      </c>
      <c r="G89" s="123">
        <f>RCFs!C$5</f>
        <v>18.559999999999999</v>
      </c>
      <c r="H89" s="124">
        <f t="shared" si="106"/>
        <v>556.79999999999995</v>
      </c>
      <c r="I89" s="123">
        <f>RCFs!C$5</f>
        <v>18.559999999999999</v>
      </c>
      <c r="J89" s="111">
        <f t="shared" si="264"/>
        <v>612.5</v>
      </c>
      <c r="K89" s="111">
        <f t="shared" si="264"/>
        <v>762.8</v>
      </c>
      <c r="L89" s="111">
        <f t="shared" si="264"/>
        <v>818.5</v>
      </c>
      <c r="M89" s="111">
        <f t="shared" si="264"/>
        <v>902</v>
      </c>
      <c r="N89" s="111">
        <f t="shared" si="264"/>
        <v>1113.5999999999999</v>
      </c>
      <c r="O89" s="111">
        <f t="shared" si="264"/>
        <v>1197.0999999999999</v>
      </c>
      <c r="P89" s="111">
        <f t="shared" si="264"/>
        <v>1670.4</v>
      </c>
      <c r="Q89" s="42">
        <f t="shared" si="107"/>
        <v>579.1</v>
      </c>
      <c r="R89" s="125">
        <f>RCFs!C$7</f>
        <v>19.303333333333335</v>
      </c>
      <c r="S89" s="111">
        <f t="shared" si="265"/>
        <v>752.8</v>
      </c>
      <c r="T89" s="111">
        <f t="shared" si="265"/>
        <v>868.6</v>
      </c>
      <c r="U89" s="42">
        <f t="shared" si="108"/>
        <v>552.70000000000005</v>
      </c>
      <c r="V89" s="125">
        <f>RCFs!C$9</f>
        <v>18.422999999999998</v>
      </c>
      <c r="W89" s="42">
        <f t="shared" si="124"/>
        <v>552.70000000000005</v>
      </c>
      <c r="X89" s="125">
        <f t="shared" si="149"/>
        <v>18.422999999999998</v>
      </c>
      <c r="Y89" s="111">
        <f t="shared" si="73"/>
        <v>607.9</v>
      </c>
      <c r="Z89" s="111">
        <f t="shared" si="266"/>
        <v>757.2</v>
      </c>
      <c r="AA89" s="111">
        <f t="shared" si="266"/>
        <v>895.4</v>
      </c>
      <c r="AB89" s="111">
        <f t="shared" si="266"/>
        <v>812.5</v>
      </c>
      <c r="AC89" s="111">
        <f t="shared" si="266"/>
        <v>1199.3</v>
      </c>
      <c r="AD89" s="111">
        <f t="shared" si="266"/>
        <v>1658.1</v>
      </c>
      <c r="AE89" s="42">
        <f t="shared" si="126"/>
        <v>574</v>
      </c>
      <c r="AF89" s="125">
        <f>RCFs!C$13</f>
        <v>19.133333333333333</v>
      </c>
      <c r="AG89" s="110">
        <f t="shared" si="267"/>
        <v>947.1</v>
      </c>
      <c r="AH89" s="110">
        <f t="shared" si="267"/>
        <v>1205.4000000000001</v>
      </c>
      <c r="AI89" s="110">
        <f t="shared" si="267"/>
        <v>1722</v>
      </c>
      <c r="AJ89" s="42">
        <f t="shared" si="111"/>
        <v>568.4</v>
      </c>
      <c r="AK89" s="125">
        <f>RCFs!C$25</f>
        <v>18.946666666666665</v>
      </c>
      <c r="AL89" s="42">
        <f t="shared" si="112"/>
        <v>752.8</v>
      </c>
      <c r="AM89" s="125">
        <f>RCFs!C$29</f>
        <v>25.09333333333333</v>
      </c>
      <c r="AN89" s="42">
        <f t="shared" si="113"/>
        <v>603.6</v>
      </c>
      <c r="AO89" s="125">
        <f>RCFs!C$33</f>
        <v>20.121274</v>
      </c>
      <c r="AP89" s="110">
        <f t="shared" si="114"/>
        <v>905.4</v>
      </c>
      <c r="AQ89" s="124">
        <f t="shared" si="115"/>
        <v>785.7</v>
      </c>
      <c r="AR89" s="125">
        <f>RCFs!C$35</f>
        <v>26.19</v>
      </c>
      <c r="AS89" s="110">
        <f t="shared" si="116"/>
        <v>1021.4</v>
      </c>
      <c r="AT89" s="110">
        <f t="shared" si="117"/>
        <v>37.9</v>
      </c>
      <c r="AU89" s="124">
        <f t="shared" si="118"/>
        <v>584.6</v>
      </c>
      <c r="AV89" s="124">
        <f>RCFs!C$37</f>
        <v>19.486666666666668</v>
      </c>
      <c r="AW89" s="124">
        <f t="shared" si="128"/>
        <v>594.79999999999995</v>
      </c>
      <c r="AX89" s="125">
        <f>RCFs!C$64</f>
        <v>19.826666666666664</v>
      </c>
      <c r="AY89" s="124">
        <f t="shared" si="119"/>
        <v>568.4</v>
      </c>
      <c r="AZ89" s="125">
        <f>RCFs!C$39</f>
        <v>18.946666666666665</v>
      </c>
      <c r="BA89" s="124">
        <f t="shared" si="120"/>
        <v>572</v>
      </c>
      <c r="BB89" s="125">
        <f>RCFs!C$41</f>
        <v>19.068114999999999</v>
      </c>
    </row>
    <row r="90" spans="1:54" s="67" customFormat="1" ht="27.6" x14ac:dyDescent="0.3">
      <c r="A90" s="66">
        <v>1778</v>
      </c>
      <c r="B90" s="68" t="s">
        <v>260</v>
      </c>
      <c r="C90" s="46">
        <v>105.9</v>
      </c>
      <c r="D90" s="42">
        <f t="shared" ref="D90" si="477">ROUND(E90*C90,1)</f>
        <v>7970.9</v>
      </c>
      <c r="E90" s="123">
        <f>RCFs!C$43</f>
        <v>75.268515088574986</v>
      </c>
      <c r="F90" s="124">
        <f t="shared" ref="F90" si="478">ROUNDDOWN($C90*G90,1)</f>
        <v>1965.5</v>
      </c>
      <c r="G90" s="123">
        <f>RCFs!C$5</f>
        <v>18.559999999999999</v>
      </c>
      <c r="H90" s="124">
        <f t="shared" ref="H90" si="479">ROUNDDOWN($C90*I90,1)</f>
        <v>1965.5</v>
      </c>
      <c r="I90" s="123">
        <f>RCFs!C$5</f>
        <v>18.559999999999999</v>
      </c>
      <c r="J90" s="111">
        <f t="shared" si="264"/>
        <v>2162.1</v>
      </c>
      <c r="K90" s="111">
        <f t="shared" si="264"/>
        <v>2692.7</v>
      </c>
      <c r="L90" s="111">
        <f t="shared" si="264"/>
        <v>2889.3</v>
      </c>
      <c r="M90" s="111">
        <f t="shared" si="264"/>
        <v>3184.1</v>
      </c>
      <c r="N90" s="111">
        <f t="shared" si="264"/>
        <v>3931</v>
      </c>
      <c r="O90" s="111">
        <f t="shared" si="264"/>
        <v>4225.8</v>
      </c>
      <c r="P90" s="111">
        <f t="shared" si="264"/>
        <v>5896.5</v>
      </c>
      <c r="Q90" s="42">
        <f t="shared" ref="Q90" si="480">ROUNDDOWN(R90*C90,1)</f>
        <v>2044.2</v>
      </c>
      <c r="R90" s="125">
        <f>RCFs!C$7</f>
        <v>19.303333333333335</v>
      </c>
      <c r="S90" s="111">
        <f t="shared" si="265"/>
        <v>2657.4</v>
      </c>
      <c r="T90" s="111">
        <f t="shared" si="265"/>
        <v>3066.3</v>
      </c>
      <c r="U90" s="42">
        <f t="shared" ref="U90" si="481">ROUND(V90*C90,1)</f>
        <v>1951</v>
      </c>
      <c r="V90" s="125">
        <f>RCFs!C$9</f>
        <v>18.422999999999998</v>
      </c>
      <c r="W90" s="42">
        <f t="shared" ref="W90" si="482">ROUND(X90*C90,1)</f>
        <v>1951</v>
      </c>
      <c r="X90" s="125">
        <f t="shared" ref="X90" si="483">V90</f>
        <v>18.422999999999998</v>
      </c>
      <c r="Y90" s="111">
        <f t="shared" si="73"/>
        <v>2146.1</v>
      </c>
      <c r="Z90" s="111">
        <f t="shared" si="266"/>
        <v>2672.9</v>
      </c>
      <c r="AA90" s="111">
        <f t="shared" si="266"/>
        <v>3160.6</v>
      </c>
      <c r="AB90" s="111">
        <f t="shared" si="266"/>
        <v>2868</v>
      </c>
      <c r="AC90" s="111">
        <f t="shared" si="266"/>
        <v>4233.7</v>
      </c>
      <c r="AD90" s="111">
        <f t="shared" si="266"/>
        <v>5853</v>
      </c>
      <c r="AE90" s="42">
        <f t="shared" ref="AE90" si="484">ROUND(AF90*C90,1)</f>
        <v>2026.2</v>
      </c>
      <c r="AF90" s="125">
        <f>RCFs!C$13</f>
        <v>19.133333333333333</v>
      </c>
      <c r="AG90" s="110">
        <f t="shared" si="267"/>
        <v>3343.2</v>
      </c>
      <c r="AH90" s="110">
        <f t="shared" si="267"/>
        <v>4255</v>
      </c>
      <c r="AI90" s="110">
        <f t="shared" si="267"/>
        <v>6078.6</v>
      </c>
      <c r="AJ90" s="42">
        <f t="shared" ref="AJ90" si="485">ROUNDDOWN(C90*AK90,1)</f>
        <v>2006.4</v>
      </c>
      <c r="AK90" s="125">
        <f>RCFs!C$25</f>
        <v>18.946666666666665</v>
      </c>
      <c r="AL90" s="42">
        <f t="shared" ref="AL90" si="486">ROUNDDOWN(C90*AM90,1)</f>
        <v>2657.3</v>
      </c>
      <c r="AM90" s="125">
        <f>RCFs!C$29</f>
        <v>25.09333333333333</v>
      </c>
      <c r="AN90" s="42">
        <f t="shared" ref="AN90" si="487">ROUNDDOWN(C90*AO90,1)</f>
        <v>2130.8000000000002</v>
      </c>
      <c r="AO90" s="125">
        <f>RCFs!C$33</f>
        <v>20.121274</v>
      </c>
      <c r="AP90" s="110">
        <f t="shared" ref="AP90" si="488">ROUNDDOWN(AN90*AP$6,1)</f>
        <v>3196.2</v>
      </c>
      <c r="AQ90" s="124">
        <f t="shared" ref="AQ90" si="489">ROUNDDOWN($C90*AR90,1)</f>
        <v>2773.5</v>
      </c>
      <c r="AR90" s="125">
        <f>RCFs!C$35</f>
        <v>26.19</v>
      </c>
      <c r="AS90" s="110">
        <f t="shared" ref="AS90" si="490">ROUNDDOWN(AQ90*AS$6,1)</f>
        <v>3605.5</v>
      </c>
      <c r="AT90" s="110">
        <f t="shared" ref="AT90" si="491">ROUNDDOWN(AR90*AT$6,1)</f>
        <v>37.9</v>
      </c>
      <c r="AU90" s="124">
        <f t="shared" ref="AU90" si="492">ROUNDDOWN($C90*AV90,1)</f>
        <v>2063.6</v>
      </c>
      <c r="AV90" s="124">
        <f>RCFs!C$37</f>
        <v>19.486666666666668</v>
      </c>
      <c r="AW90" s="124">
        <f t="shared" ref="AW90" si="493">ROUNDDOWN(AX90*C90,1)</f>
        <v>2099.6</v>
      </c>
      <c r="AX90" s="125">
        <f>RCFs!C$64</f>
        <v>19.826666666666664</v>
      </c>
      <c r="AY90" s="124">
        <f t="shared" ref="AY90" si="494">ROUNDDOWN($C90*AZ90,1)</f>
        <v>2006.4</v>
      </c>
      <c r="AZ90" s="125">
        <f>RCFs!C$39</f>
        <v>18.946666666666665</v>
      </c>
      <c r="BA90" s="124">
        <f t="shared" ref="BA90" si="495">ROUNDDOWN($C90*BB90,1)</f>
        <v>2019.3</v>
      </c>
      <c r="BB90" s="125">
        <f>RCFs!C$41</f>
        <v>19.068114999999999</v>
      </c>
    </row>
    <row r="91" spans="1:54" s="67" customFormat="1" x14ac:dyDescent="0.3">
      <c r="A91" s="66" t="s">
        <v>39</v>
      </c>
      <c r="B91" s="68" t="s">
        <v>50</v>
      </c>
      <c r="C91" s="46">
        <v>21</v>
      </c>
      <c r="D91" s="42">
        <f t="shared" si="121"/>
        <v>1580.6</v>
      </c>
      <c r="E91" s="123">
        <f>RCFs!C$43</f>
        <v>75.268515088574986</v>
      </c>
      <c r="F91" s="124">
        <f t="shared" si="105"/>
        <v>389.7</v>
      </c>
      <c r="G91" s="123">
        <f>RCFs!C$5</f>
        <v>18.559999999999999</v>
      </c>
      <c r="H91" s="124">
        <f t="shared" si="106"/>
        <v>389.7</v>
      </c>
      <c r="I91" s="123">
        <f>RCFs!C$5</f>
        <v>18.559999999999999</v>
      </c>
      <c r="J91" s="111">
        <f t="shared" si="264"/>
        <v>428.7</v>
      </c>
      <c r="K91" s="111">
        <f t="shared" si="264"/>
        <v>534</v>
      </c>
      <c r="L91" s="111">
        <f t="shared" si="264"/>
        <v>572.9</v>
      </c>
      <c r="M91" s="111">
        <f t="shared" si="264"/>
        <v>631.4</v>
      </c>
      <c r="N91" s="111">
        <f t="shared" si="264"/>
        <v>779.5</v>
      </c>
      <c r="O91" s="111">
        <f t="shared" si="264"/>
        <v>838</v>
      </c>
      <c r="P91" s="111">
        <f t="shared" si="264"/>
        <v>1169.3</v>
      </c>
      <c r="Q91" s="42">
        <f t="shared" si="107"/>
        <v>405.3</v>
      </c>
      <c r="R91" s="125">
        <f>RCFs!C$7</f>
        <v>19.303333333333335</v>
      </c>
      <c r="S91" s="111">
        <f t="shared" si="265"/>
        <v>526.79999999999995</v>
      </c>
      <c r="T91" s="111">
        <f t="shared" si="265"/>
        <v>607.9</v>
      </c>
      <c r="U91" s="42">
        <f t="shared" si="108"/>
        <v>386.9</v>
      </c>
      <c r="V91" s="125">
        <f>RCFs!C$9</f>
        <v>18.422999999999998</v>
      </c>
      <c r="W91" s="42">
        <f t="shared" si="124"/>
        <v>386.9</v>
      </c>
      <c r="X91" s="125">
        <f t="shared" si="149"/>
        <v>18.422999999999998</v>
      </c>
      <c r="Y91" s="111">
        <f t="shared" si="73"/>
        <v>425.5</v>
      </c>
      <c r="Z91" s="111">
        <f t="shared" si="266"/>
        <v>530</v>
      </c>
      <c r="AA91" s="111">
        <f t="shared" si="266"/>
        <v>626.79999999999995</v>
      </c>
      <c r="AB91" s="111">
        <f t="shared" si="266"/>
        <v>568.70000000000005</v>
      </c>
      <c r="AC91" s="111">
        <f t="shared" si="266"/>
        <v>839.5</v>
      </c>
      <c r="AD91" s="111">
        <f t="shared" si="266"/>
        <v>1160.5999999999999</v>
      </c>
      <c r="AE91" s="42">
        <f t="shared" si="126"/>
        <v>401.8</v>
      </c>
      <c r="AF91" s="125">
        <f>RCFs!C$13</f>
        <v>19.133333333333333</v>
      </c>
      <c r="AG91" s="110">
        <f t="shared" si="267"/>
        <v>663</v>
      </c>
      <c r="AH91" s="110">
        <f t="shared" si="267"/>
        <v>843.8</v>
      </c>
      <c r="AI91" s="110">
        <f t="shared" si="267"/>
        <v>1205.4000000000001</v>
      </c>
      <c r="AJ91" s="42">
        <f t="shared" si="111"/>
        <v>397.8</v>
      </c>
      <c r="AK91" s="125">
        <f>RCFs!C$25</f>
        <v>18.946666666666665</v>
      </c>
      <c r="AL91" s="42">
        <f t="shared" si="112"/>
        <v>526.9</v>
      </c>
      <c r="AM91" s="125">
        <f>RCFs!C$29</f>
        <v>25.09333333333333</v>
      </c>
      <c r="AN91" s="42">
        <f t="shared" si="113"/>
        <v>422.5</v>
      </c>
      <c r="AO91" s="125">
        <f>RCFs!C$33</f>
        <v>20.121274</v>
      </c>
      <c r="AP91" s="110">
        <f t="shared" si="114"/>
        <v>633.70000000000005</v>
      </c>
      <c r="AQ91" s="124">
        <f t="shared" si="115"/>
        <v>549.9</v>
      </c>
      <c r="AR91" s="125">
        <f>RCFs!C$35</f>
        <v>26.19</v>
      </c>
      <c r="AS91" s="110">
        <f t="shared" si="116"/>
        <v>714.8</v>
      </c>
      <c r="AT91" s="110">
        <f t="shared" si="117"/>
        <v>37.9</v>
      </c>
      <c r="AU91" s="124">
        <f t="shared" si="118"/>
        <v>409.2</v>
      </c>
      <c r="AV91" s="124">
        <f>RCFs!C$37</f>
        <v>19.486666666666668</v>
      </c>
      <c r="AW91" s="124">
        <f t="shared" si="128"/>
        <v>416.3</v>
      </c>
      <c r="AX91" s="125">
        <f>RCFs!C$64</f>
        <v>19.826666666666664</v>
      </c>
      <c r="AY91" s="124">
        <f t="shared" si="119"/>
        <v>397.8</v>
      </c>
      <c r="AZ91" s="125">
        <f>RCFs!C$39</f>
        <v>18.946666666666665</v>
      </c>
      <c r="BA91" s="124">
        <f t="shared" si="120"/>
        <v>400.4</v>
      </c>
      <c r="BB91" s="125">
        <f>RCFs!C$41</f>
        <v>19.068114999999999</v>
      </c>
    </row>
    <row r="92" spans="1:54" s="67" customFormat="1" ht="41.4" x14ac:dyDescent="0.3">
      <c r="A92" s="66">
        <v>1849</v>
      </c>
      <c r="B92" s="68" t="s">
        <v>194</v>
      </c>
      <c r="C92" s="46">
        <v>168</v>
      </c>
      <c r="D92" s="42">
        <f t="shared" si="121"/>
        <v>12645.1</v>
      </c>
      <c r="E92" s="123">
        <f>RCFs!C$43</f>
        <v>75.268515088574986</v>
      </c>
      <c r="F92" s="124">
        <f t="shared" si="105"/>
        <v>3118</v>
      </c>
      <c r="G92" s="123">
        <f>RCFs!C$5</f>
        <v>18.559999999999999</v>
      </c>
      <c r="H92" s="124">
        <f t="shared" si="106"/>
        <v>3118</v>
      </c>
      <c r="I92" s="123">
        <f>RCFs!C$5</f>
        <v>18.559999999999999</v>
      </c>
      <c r="J92" s="111">
        <f t="shared" ref="J92:P108" si="496">ROUND($C92*$I92*J$6,1)</f>
        <v>3429.9</v>
      </c>
      <c r="K92" s="111">
        <f t="shared" si="496"/>
        <v>4271.8</v>
      </c>
      <c r="L92" s="111">
        <f t="shared" si="496"/>
        <v>4583.6000000000004</v>
      </c>
      <c r="M92" s="111">
        <f t="shared" si="496"/>
        <v>5051.3</v>
      </c>
      <c r="N92" s="111">
        <f t="shared" si="496"/>
        <v>6236.2</v>
      </c>
      <c r="O92" s="111">
        <f t="shared" si="496"/>
        <v>6703.9</v>
      </c>
      <c r="P92" s="111">
        <f t="shared" si="496"/>
        <v>9354.2000000000007</v>
      </c>
      <c r="Q92" s="42">
        <f t="shared" si="107"/>
        <v>3242.9</v>
      </c>
      <c r="R92" s="125">
        <f>RCFs!C$7</f>
        <v>19.303333333333335</v>
      </c>
      <c r="S92" s="111">
        <f t="shared" si="265"/>
        <v>4215.7</v>
      </c>
      <c r="T92" s="111">
        <f t="shared" si="265"/>
        <v>4864.3</v>
      </c>
      <c r="U92" s="42">
        <f t="shared" si="108"/>
        <v>3095.1</v>
      </c>
      <c r="V92" s="125">
        <f>RCFs!C$9</f>
        <v>18.422999999999998</v>
      </c>
      <c r="W92" s="42">
        <f t="shared" si="124"/>
        <v>3095.1</v>
      </c>
      <c r="X92" s="125">
        <f t="shared" si="149"/>
        <v>18.422999999999998</v>
      </c>
      <c r="Y92" s="111">
        <f t="shared" si="73"/>
        <v>3404.6</v>
      </c>
      <c r="Z92" s="111">
        <f t="shared" ref="Z92:AD108" si="497">ROUND($C92*$X92*Z$6,1)</f>
        <v>4240.2</v>
      </c>
      <c r="AA92" s="111">
        <f t="shared" si="497"/>
        <v>5014</v>
      </c>
      <c r="AB92" s="111">
        <f t="shared" si="497"/>
        <v>4549.7</v>
      </c>
      <c r="AC92" s="111">
        <f t="shared" si="497"/>
        <v>6716.3</v>
      </c>
      <c r="AD92" s="111">
        <f t="shared" si="497"/>
        <v>9285.2000000000007</v>
      </c>
      <c r="AE92" s="42">
        <f t="shared" si="126"/>
        <v>3214.4</v>
      </c>
      <c r="AF92" s="125">
        <f>RCFs!C$13</f>
        <v>19.133333333333333</v>
      </c>
      <c r="AG92" s="110">
        <f t="shared" si="267"/>
        <v>5303.8</v>
      </c>
      <c r="AH92" s="110">
        <f t="shared" si="267"/>
        <v>6750.2</v>
      </c>
      <c r="AI92" s="110">
        <f t="shared" si="267"/>
        <v>9643.2000000000007</v>
      </c>
      <c r="AJ92" s="42">
        <f t="shared" si="111"/>
        <v>3183</v>
      </c>
      <c r="AK92" s="125">
        <f>RCFs!C$25</f>
        <v>18.946666666666665</v>
      </c>
      <c r="AL92" s="42">
        <f t="shared" si="112"/>
        <v>4215.6000000000004</v>
      </c>
      <c r="AM92" s="125">
        <f>RCFs!C$29</f>
        <v>25.09333333333333</v>
      </c>
      <c r="AN92" s="42">
        <f t="shared" si="113"/>
        <v>3380.3</v>
      </c>
      <c r="AO92" s="125">
        <f>RCFs!C$33</f>
        <v>20.121274</v>
      </c>
      <c r="AP92" s="110">
        <f t="shared" si="114"/>
        <v>5070.3999999999996</v>
      </c>
      <c r="AQ92" s="124">
        <f t="shared" si="115"/>
        <v>4399.8999999999996</v>
      </c>
      <c r="AR92" s="125">
        <f>RCFs!C$35</f>
        <v>26.19</v>
      </c>
      <c r="AS92" s="110">
        <f t="shared" si="116"/>
        <v>5719.8</v>
      </c>
      <c r="AT92" s="110">
        <f t="shared" si="117"/>
        <v>37.9</v>
      </c>
      <c r="AU92" s="124">
        <f t="shared" si="118"/>
        <v>3273.7</v>
      </c>
      <c r="AV92" s="124">
        <f>RCFs!C$37</f>
        <v>19.486666666666668</v>
      </c>
      <c r="AW92" s="124">
        <f t="shared" si="128"/>
        <v>3330.8</v>
      </c>
      <c r="AX92" s="125">
        <f>RCFs!C$64</f>
        <v>19.826666666666664</v>
      </c>
      <c r="AY92" s="124">
        <f t="shared" si="119"/>
        <v>3183</v>
      </c>
      <c r="AZ92" s="125">
        <f>RCFs!C$39</f>
        <v>18.946666666666665</v>
      </c>
      <c r="BA92" s="124">
        <f t="shared" si="120"/>
        <v>3203.4</v>
      </c>
      <c r="BB92" s="125">
        <f>RCFs!C$41</f>
        <v>19.068114999999999</v>
      </c>
    </row>
    <row r="93" spans="1:54" s="67" customFormat="1" x14ac:dyDescent="0.3">
      <c r="A93" s="66" t="s">
        <v>30</v>
      </c>
      <c r="B93" s="68" t="s">
        <v>51</v>
      </c>
      <c r="C93" s="46">
        <v>55</v>
      </c>
      <c r="D93" s="42">
        <f t="shared" si="121"/>
        <v>4139.8</v>
      </c>
      <c r="E93" s="123">
        <f>RCFs!C$43</f>
        <v>75.268515088574986</v>
      </c>
      <c r="F93" s="124">
        <f t="shared" si="105"/>
        <v>1020.8</v>
      </c>
      <c r="G93" s="123">
        <f>RCFs!C$5</f>
        <v>18.559999999999999</v>
      </c>
      <c r="H93" s="124">
        <f t="shared" si="106"/>
        <v>1020.8</v>
      </c>
      <c r="I93" s="123">
        <f>RCFs!C$5</f>
        <v>18.559999999999999</v>
      </c>
      <c r="J93" s="111">
        <f t="shared" si="496"/>
        <v>1122.9000000000001</v>
      </c>
      <c r="K93" s="111">
        <f t="shared" si="496"/>
        <v>1398.5</v>
      </c>
      <c r="L93" s="111">
        <f t="shared" si="496"/>
        <v>1500.6</v>
      </c>
      <c r="M93" s="111">
        <f t="shared" si="496"/>
        <v>1653.7</v>
      </c>
      <c r="N93" s="111">
        <f t="shared" si="496"/>
        <v>2041.6</v>
      </c>
      <c r="O93" s="111">
        <f t="shared" si="496"/>
        <v>2194.6999999999998</v>
      </c>
      <c r="P93" s="111">
        <f t="shared" si="496"/>
        <v>3062.4</v>
      </c>
      <c r="Q93" s="42">
        <f t="shared" si="107"/>
        <v>1061.5999999999999</v>
      </c>
      <c r="R93" s="125">
        <f>RCFs!C$7</f>
        <v>19.303333333333335</v>
      </c>
      <c r="S93" s="111">
        <f t="shared" si="265"/>
        <v>1380</v>
      </c>
      <c r="T93" s="111">
        <f t="shared" si="265"/>
        <v>1592.4</v>
      </c>
      <c r="U93" s="42">
        <f t="shared" si="108"/>
        <v>1013.3</v>
      </c>
      <c r="V93" s="125">
        <f>RCFs!C$9</f>
        <v>18.422999999999998</v>
      </c>
      <c r="W93" s="42">
        <f t="shared" si="124"/>
        <v>1013.3</v>
      </c>
      <c r="X93" s="125">
        <f t="shared" si="149"/>
        <v>18.422999999999998</v>
      </c>
      <c r="Y93" s="111">
        <f t="shared" si="73"/>
        <v>1114.5999999999999</v>
      </c>
      <c r="Z93" s="111">
        <f t="shared" si="497"/>
        <v>1388.2</v>
      </c>
      <c r="AA93" s="111">
        <f t="shared" si="497"/>
        <v>1641.5</v>
      </c>
      <c r="AB93" s="111">
        <f t="shared" si="497"/>
        <v>1489.5</v>
      </c>
      <c r="AC93" s="111">
        <f t="shared" si="497"/>
        <v>2198.8000000000002</v>
      </c>
      <c r="AD93" s="111">
        <f t="shared" si="497"/>
        <v>3039.8</v>
      </c>
      <c r="AE93" s="42">
        <f t="shared" si="126"/>
        <v>1052.3</v>
      </c>
      <c r="AF93" s="125">
        <f>RCFs!C$13</f>
        <v>19.133333333333333</v>
      </c>
      <c r="AG93" s="110">
        <f t="shared" si="267"/>
        <v>1736.3</v>
      </c>
      <c r="AH93" s="110">
        <f t="shared" si="267"/>
        <v>2209.8000000000002</v>
      </c>
      <c r="AI93" s="110">
        <f t="shared" si="267"/>
        <v>3156.9</v>
      </c>
      <c r="AJ93" s="42">
        <f t="shared" si="111"/>
        <v>1042</v>
      </c>
      <c r="AK93" s="125">
        <f>RCFs!C$25</f>
        <v>18.946666666666665</v>
      </c>
      <c r="AL93" s="42">
        <f t="shared" si="112"/>
        <v>1380.1</v>
      </c>
      <c r="AM93" s="125">
        <f>RCFs!C$29</f>
        <v>25.09333333333333</v>
      </c>
      <c r="AN93" s="42">
        <f t="shared" si="113"/>
        <v>1106.5999999999999</v>
      </c>
      <c r="AO93" s="125">
        <f>RCFs!C$33</f>
        <v>20.121274</v>
      </c>
      <c r="AP93" s="110">
        <f t="shared" si="114"/>
        <v>1659.9</v>
      </c>
      <c r="AQ93" s="124">
        <f t="shared" si="115"/>
        <v>1440.4</v>
      </c>
      <c r="AR93" s="125">
        <f>RCFs!C$35</f>
        <v>26.19</v>
      </c>
      <c r="AS93" s="110">
        <f t="shared" si="116"/>
        <v>1872.5</v>
      </c>
      <c r="AT93" s="110">
        <f t="shared" si="117"/>
        <v>37.9</v>
      </c>
      <c r="AU93" s="124">
        <f t="shared" si="118"/>
        <v>1071.7</v>
      </c>
      <c r="AV93" s="124">
        <f>RCFs!C$37</f>
        <v>19.486666666666668</v>
      </c>
      <c r="AW93" s="124">
        <f t="shared" si="128"/>
        <v>1090.4000000000001</v>
      </c>
      <c r="AX93" s="125">
        <f>RCFs!C$64</f>
        <v>19.826666666666664</v>
      </c>
      <c r="AY93" s="124">
        <f t="shared" si="119"/>
        <v>1042</v>
      </c>
      <c r="AZ93" s="125">
        <f>RCFs!C$39</f>
        <v>18.946666666666665</v>
      </c>
      <c r="BA93" s="124">
        <f t="shared" si="120"/>
        <v>1048.7</v>
      </c>
      <c r="BB93" s="125">
        <f>RCFs!C$41</f>
        <v>19.068114999999999</v>
      </c>
    </row>
    <row r="94" spans="1:54" s="67" customFormat="1" x14ac:dyDescent="0.3">
      <c r="A94" s="66">
        <v>1852</v>
      </c>
      <c r="B94" s="68" t="s">
        <v>195</v>
      </c>
      <c r="C94" s="46">
        <v>33</v>
      </c>
      <c r="D94" s="42">
        <f t="shared" si="121"/>
        <v>2483.9</v>
      </c>
      <c r="E94" s="123">
        <f>RCFs!C$43</f>
        <v>75.268515088574986</v>
      </c>
      <c r="F94" s="124">
        <f t="shared" si="105"/>
        <v>612.4</v>
      </c>
      <c r="G94" s="123">
        <f>RCFs!C$5</f>
        <v>18.559999999999999</v>
      </c>
      <c r="H94" s="124">
        <f t="shared" si="106"/>
        <v>612.4</v>
      </c>
      <c r="I94" s="123">
        <f>RCFs!C$5</f>
        <v>18.559999999999999</v>
      </c>
      <c r="J94" s="111">
        <f t="shared" si="496"/>
        <v>673.7</v>
      </c>
      <c r="K94" s="111">
        <f t="shared" si="496"/>
        <v>839.1</v>
      </c>
      <c r="L94" s="111">
        <f t="shared" si="496"/>
        <v>900.3</v>
      </c>
      <c r="M94" s="111">
        <f t="shared" si="496"/>
        <v>992.2</v>
      </c>
      <c r="N94" s="111">
        <f t="shared" si="496"/>
        <v>1225</v>
      </c>
      <c r="O94" s="111">
        <f t="shared" si="496"/>
        <v>1316.8</v>
      </c>
      <c r="P94" s="111">
        <f t="shared" si="496"/>
        <v>1837.4</v>
      </c>
      <c r="Q94" s="42">
        <f t="shared" si="107"/>
        <v>637</v>
      </c>
      <c r="R94" s="125">
        <f>RCFs!C$7</f>
        <v>19.303333333333335</v>
      </c>
      <c r="S94" s="111">
        <f t="shared" si="265"/>
        <v>828.1</v>
      </c>
      <c r="T94" s="111">
        <f t="shared" si="265"/>
        <v>955.5</v>
      </c>
      <c r="U94" s="42">
        <f t="shared" si="108"/>
        <v>608</v>
      </c>
      <c r="V94" s="125">
        <f>RCFs!C$9</f>
        <v>18.422999999999998</v>
      </c>
      <c r="W94" s="42">
        <f t="shared" si="124"/>
        <v>608</v>
      </c>
      <c r="X94" s="125">
        <f t="shared" si="149"/>
        <v>18.422999999999998</v>
      </c>
      <c r="Y94" s="111">
        <f t="shared" si="73"/>
        <v>668.8</v>
      </c>
      <c r="Z94" s="111">
        <f t="shared" si="497"/>
        <v>832.9</v>
      </c>
      <c r="AA94" s="111">
        <f t="shared" si="497"/>
        <v>984.9</v>
      </c>
      <c r="AB94" s="111">
        <f t="shared" si="497"/>
        <v>893.7</v>
      </c>
      <c r="AC94" s="111">
        <f t="shared" si="497"/>
        <v>1319.3</v>
      </c>
      <c r="AD94" s="111">
        <f t="shared" si="497"/>
        <v>1823.9</v>
      </c>
      <c r="AE94" s="42">
        <f t="shared" si="126"/>
        <v>631.4</v>
      </c>
      <c r="AF94" s="125">
        <f>RCFs!C$13</f>
        <v>19.133333333333333</v>
      </c>
      <c r="AG94" s="110">
        <f t="shared" si="267"/>
        <v>1041.8</v>
      </c>
      <c r="AH94" s="110">
        <f t="shared" si="267"/>
        <v>1325.9</v>
      </c>
      <c r="AI94" s="110">
        <f t="shared" si="267"/>
        <v>1894.2</v>
      </c>
      <c r="AJ94" s="42">
        <f t="shared" si="111"/>
        <v>625.20000000000005</v>
      </c>
      <c r="AK94" s="125">
        <f>RCFs!C$25</f>
        <v>18.946666666666665</v>
      </c>
      <c r="AL94" s="42">
        <f t="shared" si="112"/>
        <v>828</v>
      </c>
      <c r="AM94" s="125">
        <f>RCFs!C$29</f>
        <v>25.09333333333333</v>
      </c>
      <c r="AN94" s="42">
        <f t="shared" si="113"/>
        <v>664</v>
      </c>
      <c r="AO94" s="125">
        <f>RCFs!C$33</f>
        <v>20.121274</v>
      </c>
      <c r="AP94" s="110">
        <f t="shared" si="114"/>
        <v>996</v>
      </c>
      <c r="AQ94" s="124">
        <f t="shared" si="115"/>
        <v>864.2</v>
      </c>
      <c r="AR94" s="125">
        <f>RCFs!C$35</f>
        <v>26.19</v>
      </c>
      <c r="AS94" s="110">
        <f t="shared" si="116"/>
        <v>1123.4000000000001</v>
      </c>
      <c r="AT94" s="110">
        <f t="shared" si="117"/>
        <v>37.9</v>
      </c>
      <c r="AU94" s="124">
        <f t="shared" si="118"/>
        <v>643</v>
      </c>
      <c r="AV94" s="124">
        <f>RCFs!C$37</f>
        <v>19.486666666666668</v>
      </c>
      <c r="AW94" s="124">
        <f t="shared" si="128"/>
        <v>654.20000000000005</v>
      </c>
      <c r="AX94" s="125">
        <f>RCFs!C$64</f>
        <v>19.826666666666664</v>
      </c>
      <c r="AY94" s="124">
        <f t="shared" si="119"/>
        <v>625.20000000000005</v>
      </c>
      <c r="AZ94" s="125">
        <f>RCFs!C$39</f>
        <v>18.946666666666665</v>
      </c>
      <c r="BA94" s="124">
        <f t="shared" si="120"/>
        <v>629.20000000000005</v>
      </c>
      <c r="BB94" s="125">
        <f>RCFs!C$41</f>
        <v>19.068114999999999</v>
      </c>
    </row>
    <row r="95" spans="1:54" s="67" customFormat="1" x14ac:dyDescent="0.3">
      <c r="A95" s="66">
        <v>2719</v>
      </c>
      <c r="B95" s="68" t="s">
        <v>261</v>
      </c>
      <c r="C95" s="46">
        <v>125</v>
      </c>
      <c r="D95" s="42">
        <f t="shared" ref="D95" si="498">ROUND(E95*C95,1)</f>
        <v>9408.6</v>
      </c>
      <c r="E95" s="123">
        <f>RCFs!C$43</f>
        <v>75.268515088574986</v>
      </c>
      <c r="F95" s="124">
        <f t="shared" ref="F95" si="499">ROUNDDOWN($C95*G95,1)</f>
        <v>2320</v>
      </c>
      <c r="G95" s="123">
        <f>RCFs!C$5</f>
        <v>18.559999999999999</v>
      </c>
      <c r="H95" s="124">
        <f t="shared" ref="H95" si="500">ROUNDDOWN($C95*I95,1)</f>
        <v>2320</v>
      </c>
      <c r="I95" s="123">
        <f>RCFs!C$5</f>
        <v>18.559999999999999</v>
      </c>
      <c r="J95" s="111">
        <f t="shared" si="496"/>
        <v>2552</v>
      </c>
      <c r="K95" s="111">
        <f t="shared" si="496"/>
        <v>3178.4</v>
      </c>
      <c r="L95" s="111">
        <f t="shared" si="496"/>
        <v>3410.4</v>
      </c>
      <c r="M95" s="111">
        <f t="shared" si="496"/>
        <v>3758.4</v>
      </c>
      <c r="N95" s="111">
        <f t="shared" si="496"/>
        <v>4640</v>
      </c>
      <c r="O95" s="111">
        <f t="shared" si="496"/>
        <v>4988</v>
      </c>
      <c r="P95" s="111">
        <f t="shared" si="496"/>
        <v>6960</v>
      </c>
      <c r="Q95" s="42">
        <f t="shared" ref="Q95" si="501">ROUNDDOWN(R95*C95,1)</f>
        <v>2412.9</v>
      </c>
      <c r="R95" s="125">
        <f>RCFs!C$7</f>
        <v>19.303333333333335</v>
      </c>
      <c r="S95" s="111">
        <f t="shared" si="265"/>
        <v>3136.7</v>
      </c>
      <c r="T95" s="111">
        <f t="shared" si="265"/>
        <v>3619.3</v>
      </c>
      <c r="U95" s="42">
        <f t="shared" ref="U95" si="502">ROUND(V95*C95,1)</f>
        <v>2302.9</v>
      </c>
      <c r="V95" s="125">
        <f>RCFs!C$9</f>
        <v>18.422999999999998</v>
      </c>
      <c r="W95" s="42">
        <f t="shared" ref="W95" si="503">ROUND(X95*C95,1)</f>
        <v>2302.9</v>
      </c>
      <c r="X95" s="125">
        <f t="shared" ref="X95" si="504">V95</f>
        <v>18.422999999999998</v>
      </c>
      <c r="Y95" s="111">
        <f t="shared" si="73"/>
        <v>2533.1</v>
      </c>
      <c r="Z95" s="111">
        <f t="shared" si="497"/>
        <v>3154.9</v>
      </c>
      <c r="AA95" s="111">
        <f t="shared" si="497"/>
        <v>3730.7</v>
      </c>
      <c r="AB95" s="111">
        <f t="shared" si="497"/>
        <v>3385.2</v>
      </c>
      <c r="AC95" s="111">
        <f t="shared" si="497"/>
        <v>4997.2</v>
      </c>
      <c r="AD95" s="111">
        <f t="shared" si="497"/>
        <v>6908.6</v>
      </c>
      <c r="AE95" s="42">
        <f t="shared" ref="AE95" si="505">ROUND(AF95*C95,1)</f>
        <v>2391.6999999999998</v>
      </c>
      <c r="AF95" s="125">
        <f>RCFs!C$13</f>
        <v>19.133333333333333</v>
      </c>
      <c r="AG95" s="110">
        <f t="shared" si="267"/>
        <v>3946.3</v>
      </c>
      <c r="AH95" s="110">
        <f t="shared" si="267"/>
        <v>5022.6000000000004</v>
      </c>
      <c r="AI95" s="110">
        <f t="shared" si="267"/>
        <v>7175.1</v>
      </c>
      <c r="AJ95" s="42">
        <f t="shared" ref="AJ95" si="506">ROUNDDOWN(C95*AK95,1)</f>
        <v>2368.3000000000002</v>
      </c>
      <c r="AK95" s="125">
        <f>RCFs!C$25</f>
        <v>18.946666666666665</v>
      </c>
      <c r="AL95" s="42">
        <f t="shared" ref="AL95" si="507">ROUNDDOWN(C95*AM95,1)</f>
        <v>3136.6</v>
      </c>
      <c r="AM95" s="125">
        <f>RCFs!C$29</f>
        <v>25.09333333333333</v>
      </c>
      <c r="AN95" s="42">
        <f t="shared" ref="AN95" si="508">ROUNDDOWN(C95*AO95,1)</f>
        <v>2515.1</v>
      </c>
      <c r="AO95" s="125">
        <f>RCFs!C$33</f>
        <v>20.121274</v>
      </c>
      <c r="AP95" s="110">
        <f t="shared" ref="AP95" si="509">ROUNDDOWN(AN95*AP$6,1)</f>
        <v>3772.6</v>
      </c>
      <c r="AQ95" s="124">
        <f t="shared" ref="AQ95" si="510">ROUNDDOWN($C95*AR95,1)</f>
        <v>3273.7</v>
      </c>
      <c r="AR95" s="125">
        <f>RCFs!C$35</f>
        <v>26.19</v>
      </c>
      <c r="AS95" s="110">
        <f t="shared" ref="AS95" si="511">ROUNDDOWN(AQ95*AS$6,1)</f>
        <v>4255.8</v>
      </c>
      <c r="AT95" s="110">
        <f t="shared" ref="AT95" si="512">ROUNDDOWN(AR95*AT$6,1)</f>
        <v>37.9</v>
      </c>
      <c r="AU95" s="124">
        <f t="shared" ref="AU95" si="513">ROUNDDOWN($C95*AV95,1)</f>
        <v>2435.8000000000002</v>
      </c>
      <c r="AV95" s="124">
        <f>RCFs!C$37</f>
        <v>19.486666666666668</v>
      </c>
      <c r="AW95" s="124">
        <f t="shared" ref="AW95" si="514">ROUNDDOWN(AX95*C95,1)</f>
        <v>2478.3000000000002</v>
      </c>
      <c r="AX95" s="125">
        <f>RCFs!C$64</f>
        <v>19.826666666666664</v>
      </c>
      <c r="AY95" s="124">
        <f t="shared" ref="AY95" si="515">ROUNDDOWN($C95*AZ95,1)</f>
        <v>2368.3000000000002</v>
      </c>
      <c r="AZ95" s="125">
        <f>RCFs!C$39</f>
        <v>18.946666666666665</v>
      </c>
      <c r="BA95" s="124">
        <f t="shared" ref="BA95" si="516">ROUNDDOWN($C95*BB95,1)</f>
        <v>2383.5</v>
      </c>
      <c r="BB95" s="125">
        <f>RCFs!C$41</f>
        <v>19.068114999999999</v>
      </c>
    </row>
    <row r="96" spans="1:54" s="67" customFormat="1" x14ac:dyDescent="0.3">
      <c r="A96" s="66">
        <v>2724</v>
      </c>
      <c r="B96" s="68" t="s">
        <v>262</v>
      </c>
      <c r="C96" s="46">
        <v>155</v>
      </c>
      <c r="D96" s="42">
        <f t="shared" ref="D96" si="517">ROUND(E96*C96,1)</f>
        <v>11666.6</v>
      </c>
      <c r="E96" s="123">
        <f>RCFs!C$43</f>
        <v>75.268515088574986</v>
      </c>
      <c r="F96" s="124">
        <f t="shared" ref="F96" si="518">ROUNDDOWN($C96*G96,1)</f>
        <v>2876.8</v>
      </c>
      <c r="G96" s="123">
        <f>RCFs!C$5</f>
        <v>18.559999999999999</v>
      </c>
      <c r="H96" s="124">
        <f t="shared" ref="H96" si="519">ROUNDDOWN($C96*I96,1)</f>
        <v>2876.8</v>
      </c>
      <c r="I96" s="123">
        <f>RCFs!C$5</f>
        <v>18.559999999999999</v>
      </c>
      <c r="J96" s="111">
        <f t="shared" si="496"/>
        <v>3164.5</v>
      </c>
      <c r="K96" s="111">
        <f t="shared" si="496"/>
        <v>3941.2</v>
      </c>
      <c r="L96" s="111">
        <f t="shared" si="496"/>
        <v>4228.8999999999996</v>
      </c>
      <c r="M96" s="111">
        <f t="shared" si="496"/>
        <v>4660.3999999999996</v>
      </c>
      <c r="N96" s="111">
        <f t="shared" si="496"/>
        <v>5753.6</v>
      </c>
      <c r="O96" s="111">
        <f t="shared" si="496"/>
        <v>6185.1</v>
      </c>
      <c r="P96" s="111">
        <f t="shared" si="496"/>
        <v>8630.4</v>
      </c>
      <c r="Q96" s="42">
        <f t="shared" ref="Q96" si="520">ROUNDDOWN(R96*C96,1)</f>
        <v>2992</v>
      </c>
      <c r="R96" s="125">
        <f>RCFs!C$7</f>
        <v>19.303333333333335</v>
      </c>
      <c r="S96" s="111">
        <f t="shared" si="265"/>
        <v>3889.6</v>
      </c>
      <c r="T96" s="111">
        <f t="shared" si="265"/>
        <v>4488</v>
      </c>
      <c r="U96" s="42">
        <f t="shared" ref="U96" si="521">ROUND(V96*C96,1)</f>
        <v>2855.6</v>
      </c>
      <c r="V96" s="125">
        <f>RCFs!C$9</f>
        <v>18.422999999999998</v>
      </c>
      <c r="W96" s="42">
        <f t="shared" ref="W96" si="522">ROUND(X96*C96,1)</f>
        <v>2855.6</v>
      </c>
      <c r="X96" s="125">
        <f t="shared" ref="X96" si="523">V96</f>
        <v>18.422999999999998</v>
      </c>
      <c r="Y96" s="111">
        <f t="shared" si="73"/>
        <v>3141.1</v>
      </c>
      <c r="Z96" s="111">
        <f t="shared" si="497"/>
        <v>3912.1</v>
      </c>
      <c r="AA96" s="111">
        <f t="shared" si="497"/>
        <v>4626</v>
      </c>
      <c r="AB96" s="111">
        <f t="shared" si="497"/>
        <v>4197.7</v>
      </c>
      <c r="AC96" s="111">
        <f t="shared" si="497"/>
        <v>6196.6</v>
      </c>
      <c r="AD96" s="111">
        <f t="shared" si="497"/>
        <v>8566.7000000000007</v>
      </c>
      <c r="AE96" s="42">
        <f t="shared" ref="AE96" si="524">ROUND(AF96*C96,1)</f>
        <v>2965.7</v>
      </c>
      <c r="AF96" s="125">
        <f>RCFs!C$13</f>
        <v>19.133333333333333</v>
      </c>
      <c r="AG96" s="110">
        <f t="shared" si="267"/>
        <v>4893.3999999999996</v>
      </c>
      <c r="AH96" s="110">
        <f t="shared" si="267"/>
        <v>6228</v>
      </c>
      <c r="AI96" s="110">
        <f t="shared" si="267"/>
        <v>8897.1</v>
      </c>
      <c r="AJ96" s="42">
        <f t="shared" ref="AJ96" si="525">ROUNDDOWN(C96*AK96,1)</f>
        <v>2936.7</v>
      </c>
      <c r="AK96" s="125">
        <f>RCFs!C$25</f>
        <v>18.946666666666665</v>
      </c>
      <c r="AL96" s="42">
        <f t="shared" ref="AL96" si="526">ROUNDDOWN(C96*AM96,1)</f>
        <v>3889.4</v>
      </c>
      <c r="AM96" s="125">
        <f>RCFs!C$29</f>
        <v>25.09333333333333</v>
      </c>
      <c r="AN96" s="42">
        <f t="shared" ref="AN96" si="527">ROUNDDOWN(C96*AO96,1)</f>
        <v>3118.7</v>
      </c>
      <c r="AO96" s="125">
        <f>RCFs!C$33</f>
        <v>20.121274</v>
      </c>
      <c r="AP96" s="110">
        <f t="shared" ref="AP96" si="528">ROUNDDOWN(AN96*AP$6,1)</f>
        <v>4678</v>
      </c>
      <c r="AQ96" s="124">
        <f t="shared" ref="AQ96" si="529">ROUNDDOWN($C96*AR96,1)</f>
        <v>4059.4</v>
      </c>
      <c r="AR96" s="125">
        <f>RCFs!C$35</f>
        <v>26.19</v>
      </c>
      <c r="AS96" s="110">
        <f t="shared" ref="AS96" si="530">ROUNDDOWN(AQ96*AS$6,1)</f>
        <v>5277.2</v>
      </c>
      <c r="AT96" s="110">
        <f t="shared" ref="AT96" si="531">ROUNDDOWN(AR96*AT$6,1)</f>
        <v>37.9</v>
      </c>
      <c r="AU96" s="124">
        <f t="shared" ref="AU96" si="532">ROUNDDOWN($C96*AV96,1)</f>
        <v>3020.4</v>
      </c>
      <c r="AV96" s="124">
        <f>RCFs!C$37</f>
        <v>19.486666666666668</v>
      </c>
      <c r="AW96" s="124">
        <f t="shared" ref="AW96" si="533">ROUNDDOWN(AX96*C96,1)</f>
        <v>3073.1</v>
      </c>
      <c r="AX96" s="125">
        <f>RCFs!C$64</f>
        <v>19.826666666666664</v>
      </c>
      <c r="AY96" s="124">
        <f t="shared" ref="AY96" si="534">ROUNDDOWN($C96*AZ96,1)</f>
        <v>2936.7</v>
      </c>
      <c r="AZ96" s="125">
        <f>RCFs!C$39</f>
        <v>18.946666666666665</v>
      </c>
      <c r="BA96" s="124">
        <f t="shared" ref="BA96" si="535">ROUNDDOWN($C96*BB96,1)</f>
        <v>2955.5</v>
      </c>
      <c r="BB96" s="125">
        <f>RCFs!C$41</f>
        <v>19.068114999999999</v>
      </c>
    </row>
    <row r="97" spans="1:54" s="67" customFormat="1" ht="27.6" x14ac:dyDescent="0.3">
      <c r="A97" s="66">
        <v>3557</v>
      </c>
      <c r="B97" s="68" t="s">
        <v>263</v>
      </c>
      <c r="C97" s="46">
        <v>81</v>
      </c>
      <c r="D97" s="42">
        <f t="shared" ref="D97" si="536">ROUND(E97*C97,1)</f>
        <v>6096.7</v>
      </c>
      <c r="E97" s="123">
        <f>RCFs!C$43</f>
        <v>75.268515088574986</v>
      </c>
      <c r="F97" s="124">
        <f t="shared" ref="F97" si="537">ROUNDDOWN($C97*G97,1)</f>
        <v>1503.3</v>
      </c>
      <c r="G97" s="123">
        <f>RCFs!C$5</f>
        <v>18.559999999999999</v>
      </c>
      <c r="H97" s="124">
        <f t="shared" ref="H97" si="538">ROUNDDOWN($C97*I97,1)</f>
        <v>1503.3</v>
      </c>
      <c r="I97" s="123">
        <f>RCFs!C$5</f>
        <v>18.559999999999999</v>
      </c>
      <c r="J97" s="111">
        <f t="shared" si="496"/>
        <v>1653.7</v>
      </c>
      <c r="K97" s="111">
        <f t="shared" si="496"/>
        <v>2059.6</v>
      </c>
      <c r="L97" s="111">
        <f t="shared" si="496"/>
        <v>2209.9</v>
      </c>
      <c r="M97" s="111">
        <f t="shared" si="496"/>
        <v>2435.4</v>
      </c>
      <c r="N97" s="111">
        <f t="shared" si="496"/>
        <v>3006.7</v>
      </c>
      <c r="O97" s="111">
        <f t="shared" si="496"/>
        <v>3232.2</v>
      </c>
      <c r="P97" s="111">
        <f t="shared" si="496"/>
        <v>4510.1000000000004</v>
      </c>
      <c r="Q97" s="42">
        <f t="shared" ref="Q97" si="539">ROUNDDOWN(R97*C97,1)</f>
        <v>1563.5</v>
      </c>
      <c r="R97" s="125">
        <f>RCFs!C$7</f>
        <v>19.303333333333335</v>
      </c>
      <c r="S97" s="111">
        <f t="shared" si="265"/>
        <v>2032.5</v>
      </c>
      <c r="T97" s="111">
        <f t="shared" si="265"/>
        <v>2345.1999999999998</v>
      </c>
      <c r="U97" s="42">
        <f t="shared" ref="U97" si="540">ROUND(V97*C97,1)</f>
        <v>1492.3</v>
      </c>
      <c r="V97" s="125">
        <f>RCFs!C$9</f>
        <v>18.422999999999998</v>
      </c>
      <c r="W97" s="42">
        <f t="shared" ref="W97" si="541">ROUND(X97*C97,1)</f>
        <v>1492.3</v>
      </c>
      <c r="X97" s="125">
        <f t="shared" ref="X97" si="542">V97</f>
        <v>18.422999999999998</v>
      </c>
      <c r="Y97" s="111">
        <f t="shared" si="73"/>
        <v>1641.5</v>
      </c>
      <c r="Z97" s="111">
        <f t="shared" si="497"/>
        <v>2044.4</v>
      </c>
      <c r="AA97" s="111">
        <f t="shared" si="497"/>
        <v>2417.5</v>
      </c>
      <c r="AB97" s="111">
        <f t="shared" si="497"/>
        <v>2193.6</v>
      </c>
      <c r="AC97" s="111">
        <f t="shared" si="497"/>
        <v>3238.2</v>
      </c>
      <c r="AD97" s="111">
        <f t="shared" si="497"/>
        <v>4476.8</v>
      </c>
      <c r="AE97" s="42">
        <f t="shared" ref="AE97" si="543">ROUND(AF97*C97,1)</f>
        <v>1549.8</v>
      </c>
      <c r="AF97" s="125">
        <f>RCFs!C$13</f>
        <v>19.133333333333333</v>
      </c>
      <c r="AG97" s="110">
        <f t="shared" si="267"/>
        <v>2557.1999999999998</v>
      </c>
      <c r="AH97" s="110">
        <f t="shared" si="267"/>
        <v>3254.6</v>
      </c>
      <c r="AI97" s="110">
        <f t="shared" si="267"/>
        <v>4649.3999999999996</v>
      </c>
      <c r="AJ97" s="42">
        <f t="shared" ref="AJ97" si="544">ROUNDDOWN(C97*AK97,1)</f>
        <v>1534.6</v>
      </c>
      <c r="AK97" s="125">
        <f>RCFs!C$25</f>
        <v>18.946666666666665</v>
      </c>
      <c r="AL97" s="42">
        <f t="shared" ref="AL97" si="545">ROUNDDOWN(C97*AM97,1)</f>
        <v>2032.5</v>
      </c>
      <c r="AM97" s="125">
        <f>RCFs!C$29</f>
        <v>25.09333333333333</v>
      </c>
      <c r="AN97" s="42">
        <f t="shared" ref="AN97" si="546">ROUNDDOWN(C97*AO97,1)</f>
        <v>1629.8</v>
      </c>
      <c r="AO97" s="125">
        <f>RCFs!C$33</f>
        <v>20.121274</v>
      </c>
      <c r="AP97" s="110">
        <f t="shared" ref="AP97" si="547">ROUNDDOWN(AN97*AP$6,1)</f>
        <v>2444.6999999999998</v>
      </c>
      <c r="AQ97" s="124">
        <f t="shared" ref="AQ97" si="548">ROUNDDOWN($C97*AR97,1)</f>
        <v>2121.3000000000002</v>
      </c>
      <c r="AR97" s="125">
        <f>RCFs!C$35</f>
        <v>26.19</v>
      </c>
      <c r="AS97" s="110">
        <f t="shared" ref="AS97" si="549">ROUNDDOWN(AQ97*AS$6,1)</f>
        <v>2757.6</v>
      </c>
      <c r="AT97" s="110">
        <f t="shared" ref="AT97" si="550">ROUNDDOWN(AR97*AT$6,1)</f>
        <v>37.9</v>
      </c>
      <c r="AU97" s="124">
        <f t="shared" ref="AU97" si="551">ROUNDDOWN($C97*AV97,1)</f>
        <v>1578.4</v>
      </c>
      <c r="AV97" s="124">
        <f>RCFs!C$37</f>
        <v>19.486666666666668</v>
      </c>
      <c r="AW97" s="124">
        <f t="shared" ref="AW97" si="552">ROUNDDOWN(AX97*C97,1)</f>
        <v>1605.9</v>
      </c>
      <c r="AX97" s="125">
        <f>RCFs!C$64</f>
        <v>19.826666666666664</v>
      </c>
      <c r="AY97" s="124">
        <f t="shared" ref="AY97" si="553">ROUNDDOWN($C97*AZ97,1)</f>
        <v>1534.6</v>
      </c>
      <c r="AZ97" s="125">
        <f>RCFs!C$39</f>
        <v>18.946666666666665</v>
      </c>
      <c r="BA97" s="124">
        <f t="shared" ref="BA97" si="554">ROUNDDOWN($C97*BB97,1)</f>
        <v>1544.5</v>
      </c>
      <c r="BB97" s="125">
        <f>RCFs!C$41</f>
        <v>19.068114999999999</v>
      </c>
    </row>
    <row r="98" spans="1:54" s="67" customFormat="1" ht="27.6" x14ac:dyDescent="0.3">
      <c r="A98" s="66">
        <v>3559</v>
      </c>
      <c r="B98" s="68" t="s">
        <v>264</v>
      </c>
      <c r="C98" s="46">
        <v>95</v>
      </c>
      <c r="D98" s="42">
        <f t="shared" ref="D98" si="555">ROUND(E98*C98,1)</f>
        <v>7150.5</v>
      </c>
      <c r="E98" s="123">
        <f>RCFs!C$43</f>
        <v>75.268515088574986</v>
      </c>
      <c r="F98" s="124">
        <f t="shared" ref="F98" si="556">ROUNDDOWN($C98*G98,1)</f>
        <v>1763.2</v>
      </c>
      <c r="G98" s="123">
        <f>RCFs!C$5</f>
        <v>18.559999999999999</v>
      </c>
      <c r="H98" s="124">
        <f t="shared" ref="H98" si="557">ROUNDDOWN($C98*I98,1)</f>
        <v>1763.2</v>
      </c>
      <c r="I98" s="123">
        <f>RCFs!C$5</f>
        <v>18.559999999999999</v>
      </c>
      <c r="J98" s="111">
        <f t="shared" si="496"/>
        <v>1939.5</v>
      </c>
      <c r="K98" s="111">
        <f t="shared" si="496"/>
        <v>2415.6</v>
      </c>
      <c r="L98" s="111">
        <f t="shared" si="496"/>
        <v>2591.9</v>
      </c>
      <c r="M98" s="111">
        <f t="shared" si="496"/>
        <v>2856.4</v>
      </c>
      <c r="N98" s="111">
        <f t="shared" si="496"/>
        <v>3526.4</v>
      </c>
      <c r="O98" s="111">
        <f t="shared" si="496"/>
        <v>3790.9</v>
      </c>
      <c r="P98" s="111">
        <f t="shared" si="496"/>
        <v>5289.6</v>
      </c>
      <c r="Q98" s="42">
        <f t="shared" ref="Q98" si="558">ROUNDDOWN(R98*C98,1)</f>
        <v>1833.8</v>
      </c>
      <c r="R98" s="125">
        <f>RCFs!C$7</f>
        <v>19.303333333333335</v>
      </c>
      <c r="S98" s="111">
        <f t="shared" si="265"/>
        <v>2383.9</v>
      </c>
      <c r="T98" s="111">
        <f t="shared" si="265"/>
        <v>2750.7</v>
      </c>
      <c r="U98" s="42">
        <f t="shared" ref="U98" si="559">ROUND(V98*C98,1)</f>
        <v>1750.2</v>
      </c>
      <c r="V98" s="125">
        <f>RCFs!C$9</f>
        <v>18.422999999999998</v>
      </c>
      <c r="W98" s="42">
        <f t="shared" ref="W98" si="560">ROUND(X98*C98,1)</f>
        <v>1750.2</v>
      </c>
      <c r="X98" s="125">
        <f t="shared" ref="X98" si="561">V98</f>
        <v>18.422999999999998</v>
      </c>
      <c r="Y98" s="111">
        <f t="shared" si="73"/>
        <v>1925.2</v>
      </c>
      <c r="Z98" s="111">
        <f t="shared" si="497"/>
        <v>2397.8000000000002</v>
      </c>
      <c r="AA98" s="111">
        <f t="shared" si="497"/>
        <v>2835.3</v>
      </c>
      <c r="AB98" s="111">
        <f t="shared" si="497"/>
        <v>2572.8000000000002</v>
      </c>
      <c r="AC98" s="111">
        <f t="shared" si="497"/>
        <v>3797.9</v>
      </c>
      <c r="AD98" s="111">
        <f t="shared" si="497"/>
        <v>5250.6</v>
      </c>
      <c r="AE98" s="42">
        <f t="shared" ref="AE98" si="562">ROUND(AF98*C98,1)</f>
        <v>1817.7</v>
      </c>
      <c r="AF98" s="125">
        <f>RCFs!C$13</f>
        <v>19.133333333333333</v>
      </c>
      <c r="AG98" s="110">
        <f t="shared" si="267"/>
        <v>2999.2</v>
      </c>
      <c r="AH98" s="110">
        <f t="shared" si="267"/>
        <v>3817.2</v>
      </c>
      <c r="AI98" s="110">
        <f t="shared" si="267"/>
        <v>5453.1</v>
      </c>
      <c r="AJ98" s="42">
        <f t="shared" ref="AJ98" si="563">ROUNDDOWN(C98*AK98,1)</f>
        <v>1799.9</v>
      </c>
      <c r="AK98" s="125">
        <f>RCFs!C$25</f>
        <v>18.946666666666665</v>
      </c>
      <c r="AL98" s="42">
        <f t="shared" ref="AL98" si="564">ROUNDDOWN(C98*AM98,1)</f>
        <v>2383.8000000000002</v>
      </c>
      <c r="AM98" s="125">
        <f>RCFs!C$29</f>
        <v>25.09333333333333</v>
      </c>
      <c r="AN98" s="42">
        <f t="shared" ref="AN98" si="565">ROUNDDOWN(C98*AO98,1)</f>
        <v>1911.5</v>
      </c>
      <c r="AO98" s="125">
        <f>RCFs!C$33</f>
        <v>20.121274</v>
      </c>
      <c r="AP98" s="110">
        <f t="shared" ref="AP98" si="566">ROUNDDOWN(AN98*AP$6,1)</f>
        <v>2867.2</v>
      </c>
      <c r="AQ98" s="124">
        <f t="shared" ref="AQ98" si="567">ROUNDDOWN($C98*AR98,1)</f>
        <v>2488</v>
      </c>
      <c r="AR98" s="125">
        <f>RCFs!C$35</f>
        <v>26.19</v>
      </c>
      <c r="AS98" s="110">
        <f t="shared" ref="AS98" si="568">ROUNDDOWN(AQ98*AS$6,1)</f>
        <v>3234.4</v>
      </c>
      <c r="AT98" s="110">
        <f t="shared" ref="AT98" si="569">ROUNDDOWN(AR98*AT$6,1)</f>
        <v>37.9</v>
      </c>
      <c r="AU98" s="124">
        <f t="shared" ref="AU98" si="570">ROUNDDOWN($C98*AV98,1)</f>
        <v>1851.2</v>
      </c>
      <c r="AV98" s="124">
        <f>RCFs!C$37</f>
        <v>19.486666666666668</v>
      </c>
      <c r="AW98" s="124">
        <f t="shared" ref="AW98" si="571">ROUNDDOWN(AX98*C98,1)</f>
        <v>1883.5</v>
      </c>
      <c r="AX98" s="125">
        <f>RCFs!C$64</f>
        <v>19.826666666666664</v>
      </c>
      <c r="AY98" s="124">
        <f t="shared" ref="AY98" si="572">ROUNDDOWN($C98*AZ98,1)</f>
        <v>1799.9</v>
      </c>
      <c r="AZ98" s="125">
        <f>RCFs!C$39</f>
        <v>18.946666666666665</v>
      </c>
      <c r="BA98" s="124">
        <f t="shared" ref="BA98" si="573">ROUNDDOWN($C98*BB98,1)</f>
        <v>1811.4</v>
      </c>
      <c r="BB98" s="125">
        <f>RCFs!C$41</f>
        <v>19.068114999999999</v>
      </c>
    </row>
    <row r="99" spans="1:54" s="67" customFormat="1" ht="27.6" x14ac:dyDescent="0.3">
      <c r="A99" s="66">
        <v>3560</v>
      </c>
      <c r="B99" s="68" t="s">
        <v>265</v>
      </c>
      <c r="C99" s="46">
        <v>109</v>
      </c>
      <c r="D99" s="42">
        <f t="shared" ref="D99" si="574">ROUND(E99*C99,1)</f>
        <v>8204.2999999999993</v>
      </c>
      <c r="E99" s="123">
        <f>RCFs!C$43</f>
        <v>75.268515088574986</v>
      </c>
      <c r="F99" s="124">
        <f t="shared" ref="F99" si="575">ROUNDDOWN($C99*G99,1)</f>
        <v>2023</v>
      </c>
      <c r="G99" s="123">
        <f>RCFs!C$5</f>
        <v>18.559999999999999</v>
      </c>
      <c r="H99" s="124">
        <f t="shared" ref="H99" si="576">ROUNDDOWN($C99*I99,1)</f>
        <v>2023</v>
      </c>
      <c r="I99" s="123">
        <f>RCFs!C$5</f>
        <v>18.559999999999999</v>
      </c>
      <c r="J99" s="111">
        <f t="shared" si="496"/>
        <v>2225.3000000000002</v>
      </c>
      <c r="K99" s="111">
        <f t="shared" si="496"/>
        <v>2771.6</v>
      </c>
      <c r="L99" s="111">
        <f t="shared" si="496"/>
        <v>2973.9</v>
      </c>
      <c r="M99" s="111">
        <f t="shared" si="496"/>
        <v>3277.3</v>
      </c>
      <c r="N99" s="111">
        <f t="shared" si="496"/>
        <v>4046.1</v>
      </c>
      <c r="O99" s="111">
        <f t="shared" si="496"/>
        <v>4349.5</v>
      </c>
      <c r="P99" s="111">
        <f t="shared" si="496"/>
        <v>6069.1</v>
      </c>
      <c r="Q99" s="42">
        <f t="shared" ref="Q99" si="577">ROUNDDOWN(R99*C99,1)</f>
        <v>2104</v>
      </c>
      <c r="R99" s="125">
        <f>RCFs!C$7</f>
        <v>19.303333333333335</v>
      </c>
      <c r="S99" s="111">
        <f t="shared" si="265"/>
        <v>2735.2</v>
      </c>
      <c r="T99" s="111">
        <f t="shared" si="265"/>
        <v>3156</v>
      </c>
      <c r="U99" s="42">
        <f t="shared" ref="U99" si="578">ROUND(V99*C99,1)</f>
        <v>2008.1</v>
      </c>
      <c r="V99" s="125">
        <f>RCFs!C$9</f>
        <v>18.422999999999998</v>
      </c>
      <c r="W99" s="42">
        <f t="shared" ref="W99" si="579">ROUND(X99*C99,1)</f>
        <v>2008.1</v>
      </c>
      <c r="X99" s="125">
        <f t="shared" ref="X99" si="580">V99</f>
        <v>18.422999999999998</v>
      </c>
      <c r="Y99" s="111">
        <f t="shared" si="73"/>
        <v>2208.9</v>
      </c>
      <c r="Z99" s="111">
        <f t="shared" si="497"/>
        <v>2751.1</v>
      </c>
      <c r="AA99" s="111">
        <f t="shared" si="497"/>
        <v>3253.1</v>
      </c>
      <c r="AB99" s="111">
        <f t="shared" si="497"/>
        <v>2951.9</v>
      </c>
      <c r="AC99" s="111">
        <f t="shared" si="497"/>
        <v>4357.6000000000004</v>
      </c>
      <c r="AD99" s="111">
        <f t="shared" si="497"/>
        <v>6024.3</v>
      </c>
      <c r="AE99" s="42">
        <f t="shared" ref="AE99" si="581">ROUND(AF99*C99,1)</f>
        <v>2085.5</v>
      </c>
      <c r="AF99" s="125">
        <f>RCFs!C$13</f>
        <v>19.133333333333333</v>
      </c>
      <c r="AG99" s="110">
        <f t="shared" si="267"/>
        <v>3441.1</v>
      </c>
      <c r="AH99" s="110">
        <f t="shared" si="267"/>
        <v>4379.6000000000004</v>
      </c>
      <c r="AI99" s="110">
        <f t="shared" si="267"/>
        <v>6256.5</v>
      </c>
      <c r="AJ99" s="42">
        <f t="shared" ref="AJ99" si="582">ROUNDDOWN(C99*AK99,1)</f>
        <v>2065.1</v>
      </c>
      <c r="AK99" s="125">
        <f>RCFs!C$25</f>
        <v>18.946666666666665</v>
      </c>
      <c r="AL99" s="42">
        <f t="shared" ref="AL99" si="583">ROUNDDOWN(C99*AM99,1)</f>
        <v>2735.1</v>
      </c>
      <c r="AM99" s="125">
        <f>RCFs!C$29</f>
        <v>25.09333333333333</v>
      </c>
      <c r="AN99" s="42">
        <f t="shared" ref="AN99" si="584">ROUNDDOWN(C99*AO99,1)</f>
        <v>2193.1999999999998</v>
      </c>
      <c r="AO99" s="125">
        <f>RCFs!C$33</f>
        <v>20.121274</v>
      </c>
      <c r="AP99" s="110">
        <f t="shared" ref="AP99" si="585">ROUNDDOWN(AN99*AP$6,1)</f>
        <v>3289.8</v>
      </c>
      <c r="AQ99" s="124">
        <f t="shared" ref="AQ99" si="586">ROUNDDOWN($C99*AR99,1)</f>
        <v>2854.7</v>
      </c>
      <c r="AR99" s="125">
        <f>RCFs!C$35</f>
        <v>26.19</v>
      </c>
      <c r="AS99" s="110">
        <f t="shared" ref="AS99" si="587">ROUNDDOWN(AQ99*AS$6,1)</f>
        <v>3711.1</v>
      </c>
      <c r="AT99" s="110">
        <f t="shared" ref="AT99" si="588">ROUNDDOWN(AR99*AT$6,1)</f>
        <v>37.9</v>
      </c>
      <c r="AU99" s="124">
        <f t="shared" ref="AU99" si="589">ROUNDDOWN($C99*AV99,1)</f>
        <v>2124</v>
      </c>
      <c r="AV99" s="124">
        <f>RCFs!C$37</f>
        <v>19.486666666666668</v>
      </c>
      <c r="AW99" s="124">
        <f t="shared" ref="AW99" si="590">ROUNDDOWN(AX99*C99,1)</f>
        <v>2161.1</v>
      </c>
      <c r="AX99" s="125">
        <f>RCFs!C$64</f>
        <v>19.826666666666664</v>
      </c>
      <c r="AY99" s="124">
        <f t="shared" ref="AY99" si="591">ROUNDDOWN($C99*AZ99,1)</f>
        <v>2065.1</v>
      </c>
      <c r="AZ99" s="125">
        <f>RCFs!C$39</f>
        <v>18.946666666666665</v>
      </c>
      <c r="BA99" s="124">
        <f t="shared" ref="BA99" si="592">ROUNDDOWN($C99*BB99,1)</f>
        <v>2078.4</v>
      </c>
      <c r="BB99" s="125">
        <f>RCFs!C$41</f>
        <v>19.068114999999999</v>
      </c>
    </row>
    <row r="100" spans="1:54" s="67" customFormat="1" ht="27.6" x14ac:dyDescent="0.3">
      <c r="A100" s="66">
        <v>3566</v>
      </c>
      <c r="B100" s="68" t="s">
        <v>266</v>
      </c>
      <c r="C100" s="46">
        <v>143</v>
      </c>
      <c r="D100" s="42">
        <f t="shared" ref="D100" si="593">ROUND(E100*C100,1)</f>
        <v>10763.4</v>
      </c>
      <c r="E100" s="123">
        <f>RCFs!C$43</f>
        <v>75.268515088574986</v>
      </c>
      <c r="F100" s="124">
        <f t="shared" ref="F100" si="594">ROUNDDOWN($C100*G100,1)</f>
        <v>2654</v>
      </c>
      <c r="G100" s="123">
        <f>RCFs!C$5</f>
        <v>18.559999999999999</v>
      </c>
      <c r="H100" s="124">
        <f t="shared" ref="H100" si="595">ROUNDDOWN($C100*I100,1)</f>
        <v>2654</v>
      </c>
      <c r="I100" s="123">
        <f>RCFs!C$5</f>
        <v>18.559999999999999</v>
      </c>
      <c r="J100" s="111">
        <f t="shared" si="496"/>
        <v>2919.5</v>
      </c>
      <c r="K100" s="111">
        <f t="shared" si="496"/>
        <v>3636.1</v>
      </c>
      <c r="L100" s="111">
        <f t="shared" si="496"/>
        <v>3901.5</v>
      </c>
      <c r="M100" s="111">
        <f t="shared" si="496"/>
        <v>4299.6000000000004</v>
      </c>
      <c r="N100" s="111">
        <f t="shared" si="496"/>
        <v>5308.2</v>
      </c>
      <c r="O100" s="111">
        <f t="shared" si="496"/>
        <v>5706.3</v>
      </c>
      <c r="P100" s="111">
        <f t="shared" si="496"/>
        <v>7962.2</v>
      </c>
      <c r="Q100" s="42">
        <f t="shared" ref="Q100" si="596">ROUNDDOWN(R100*C100,1)</f>
        <v>2760.3</v>
      </c>
      <c r="R100" s="125">
        <f>RCFs!C$7</f>
        <v>19.303333333333335</v>
      </c>
      <c r="S100" s="111">
        <f t="shared" si="265"/>
        <v>3588.3</v>
      </c>
      <c r="T100" s="111">
        <f t="shared" si="265"/>
        <v>4140.3999999999996</v>
      </c>
      <c r="U100" s="42">
        <f t="shared" ref="U100" si="597">ROUND(V100*C100,1)</f>
        <v>2634.5</v>
      </c>
      <c r="V100" s="125">
        <f>RCFs!C$9</f>
        <v>18.422999999999998</v>
      </c>
      <c r="W100" s="42">
        <f t="shared" ref="W100" si="598">ROUND(X100*C100,1)</f>
        <v>2634.5</v>
      </c>
      <c r="X100" s="125">
        <f t="shared" ref="X100" si="599">V100</f>
        <v>18.422999999999998</v>
      </c>
      <c r="Y100" s="111">
        <f t="shared" si="73"/>
        <v>2897.9</v>
      </c>
      <c r="Z100" s="111">
        <f t="shared" si="497"/>
        <v>3609.2</v>
      </c>
      <c r="AA100" s="111">
        <f t="shared" si="497"/>
        <v>4267.8999999999996</v>
      </c>
      <c r="AB100" s="111">
        <f t="shared" si="497"/>
        <v>3872.7</v>
      </c>
      <c r="AC100" s="111">
        <f t="shared" si="497"/>
        <v>5716.8</v>
      </c>
      <c r="AD100" s="111">
        <f t="shared" si="497"/>
        <v>7903.5</v>
      </c>
      <c r="AE100" s="42">
        <f t="shared" ref="AE100" si="600">ROUND(AF100*C100,1)</f>
        <v>2736.1</v>
      </c>
      <c r="AF100" s="125">
        <f>RCFs!C$13</f>
        <v>19.133333333333333</v>
      </c>
      <c r="AG100" s="110">
        <f t="shared" si="267"/>
        <v>4514.6000000000004</v>
      </c>
      <c r="AH100" s="110">
        <f t="shared" si="267"/>
        <v>5745.8</v>
      </c>
      <c r="AI100" s="110">
        <f t="shared" si="267"/>
        <v>8208.2999999999993</v>
      </c>
      <c r="AJ100" s="42">
        <f t="shared" ref="AJ100" si="601">ROUNDDOWN(C100*AK100,1)</f>
        <v>2709.3</v>
      </c>
      <c r="AK100" s="125">
        <f>RCFs!C$25</f>
        <v>18.946666666666665</v>
      </c>
      <c r="AL100" s="42">
        <f t="shared" ref="AL100" si="602">ROUNDDOWN(C100*AM100,1)</f>
        <v>3588.3</v>
      </c>
      <c r="AM100" s="125">
        <f>RCFs!C$29</f>
        <v>25.09333333333333</v>
      </c>
      <c r="AN100" s="42">
        <f t="shared" ref="AN100" si="603">ROUNDDOWN(C100*AO100,1)</f>
        <v>2877.3</v>
      </c>
      <c r="AO100" s="125">
        <f>RCFs!C$33</f>
        <v>20.121274</v>
      </c>
      <c r="AP100" s="110">
        <f t="shared" ref="AP100" si="604">ROUNDDOWN(AN100*AP$6,1)</f>
        <v>4315.8999999999996</v>
      </c>
      <c r="AQ100" s="124">
        <f t="shared" ref="AQ100" si="605">ROUNDDOWN($C100*AR100,1)</f>
        <v>3745.1</v>
      </c>
      <c r="AR100" s="125">
        <f>RCFs!C$35</f>
        <v>26.19</v>
      </c>
      <c r="AS100" s="110">
        <f t="shared" ref="AS100" si="606">ROUNDDOWN(AQ100*AS$6,1)</f>
        <v>4868.6000000000004</v>
      </c>
      <c r="AT100" s="110">
        <f t="shared" ref="AT100" si="607">ROUNDDOWN(AR100*AT$6,1)</f>
        <v>37.9</v>
      </c>
      <c r="AU100" s="124">
        <f t="shared" ref="AU100" si="608">ROUNDDOWN($C100*AV100,1)</f>
        <v>2786.5</v>
      </c>
      <c r="AV100" s="124">
        <f>RCFs!C$37</f>
        <v>19.486666666666668</v>
      </c>
      <c r="AW100" s="124">
        <f t="shared" ref="AW100" si="609">ROUNDDOWN(AX100*C100,1)</f>
        <v>2835.2</v>
      </c>
      <c r="AX100" s="125">
        <f>RCFs!C$64</f>
        <v>19.826666666666664</v>
      </c>
      <c r="AY100" s="124">
        <f t="shared" ref="AY100" si="610">ROUNDDOWN($C100*AZ100,1)</f>
        <v>2709.3</v>
      </c>
      <c r="AZ100" s="125">
        <f>RCFs!C$39</f>
        <v>18.946666666666665</v>
      </c>
      <c r="BA100" s="124">
        <f t="shared" ref="BA100" si="611">ROUNDDOWN($C100*BB100,1)</f>
        <v>2726.7</v>
      </c>
      <c r="BB100" s="125">
        <f>RCFs!C$41</f>
        <v>19.068114999999999</v>
      </c>
    </row>
    <row r="101" spans="1:54" s="67" customFormat="1" ht="26.25" customHeight="1" x14ac:dyDescent="0.3">
      <c r="A101" s="66">
        <v>3570</v>
      </c>
      <c r="B101" s="68" t="s">
        <v>267</v>
      </c>
      <c r="C101" s="46">
        <v>218</v>
      </c>
      <c r="D101" s="42">
        <f t="shared" ref="D101" si="612">ROUND(E101*C101,1)</f>
        <v>16408.5</v>
      </c>
      <c r="E101" s="123">
        <f>RCFs!C$43</f>
        <v>75.268515088574986</v>
      </c>
      <c r="F101" s="124">
        <f t="shared" ref="F101" si="613">ROUNDDOWN($C101*G101,1)</f>
        <v>4046</v>
      </c>
      <c r="G101" s="123">
        <f>RCFs!C$5</f>
        <v>18.559999999999999</v>
      </c>
      <c r="H101" s="124">
        <f t="shared" ref="H101" si="614">ROUNDDOWN($C101*I101,1)</f>
        <v>4046</v>
      </c>
      <c r="I101" s="123">
        <f>RCFs!C$5</f>
        <v>18.559999999999999</v>
      </c>
      <c r="J101" s="111">
        <f t="shared" si="496"/>
        <v>4450.7</v>
      </c>
      <c r="K101" s="111">
        <f t="shared" si="496"/>
        <v>5543.1</v>
      </c>
      <c r="L101" s="111">
        <f t="shared" si="496"/>
        <v>5947.7</v>
      </c>
      <c r="M101" s="111">
        <f t="shared" si="496"/>
        <v>6554.6</v>
      </c>
      <c r="N101" s="111">
        <f t="shared" si="496"/>
        <v>8092.2</v>
      </c>
      <c r="O101" s="111">
        <f t="shared" si="496"/>
        <v>8699.1</v>
      </c>
      <c r="P101" s="111">
        <f t="shared" si="496"/>
        <v>12138.2</v>
      </c>
      <c r="Q101" s="42">
        <f t="shared" ref="Q101" si="615">ROUNDDOWN(R101*C101,1)</f>
        <v>4208.1000000000004</v>
      </c>
      <c r="R101" s="125">
        <f>RCFs!C$7</f>
        <v>19.303333333333335</v>
      </c>
      <c r="S101" s="111">
        <f t="shared" si="265"/>
        <v>5470.5</v>
      </c>
      <c r="T101" s="111">
        <f t="shared" si="265"/>
        <v>6312.1</v>
      </c>
      <c r="U101" s="42">
        <f t="shared" ref="U101" si="616">ROUND(V101*C101,1)</f>
        <v>4016.2</v>
      </c>
      <c r="V101" s="125">
        <f>RCFs!C$9</f>
        <v>18.422999999999998</v>
      </c>
      <c r="W101" s="42">
        <f t="shared" ref="W101" si="617">ROUND(X101*C101,1)</f>
        <v>4016.2</v>
      </c>
      <c r="X101" s="125">
        <f t="shared" ref="X101" si="618">V101</f>
        <v>18.422999999999998</v>
      </c>
      <c r="Y101" s="111">
        <f t="shared" si="73"/>
        <v>4417.8</v>
      </c>
      <c r="Z101" s="111">
        <f t="shared" si="497"/>
        <v>5502.2</v>
      </c>
      <c r="AA101" s="111">
        <f t="shared" si="497"/>
        <v>6506.3</v>
      </c>
      <c r="AB101" s="111">
        <f t="shared" si="497"/>
        <v>5903.8</v>
      </c>
      <c r="AC101" s="111">
        <f t="shared" si="497"/>
        <v>8715.2000000000007</v>
      </c>
      <c r="AD101" s="111">
        <f t="shared" si="497"/>
        <v>12048.6</v>
      </c>
      <c r="AE101" s="42">
        <f t="shared" ref="AE101" si="619">ROUND(AF101*C101,1)</f>
        <v>4171.1000000000004</v>
      </c>
      <c r="AF101" s="125">
        <f>RCFs!C$13</f>
        <v>19.133333333333333</v>
      </c>
      <c r="AG101" s="110">
        <f t="shared" si="267"/>
        <v>6882.3</v>
      </c>
      <c r="AH101" s="110">
        <f t="shared" si="267"/>
        <v>8759.2999999999993</v>
      </c>
      <c r="AI101" s="110">
        <f t="shared" si="267"/>
        <v>12513.3</v>
      </c>
      <c r="AJ101" s="42">
        <f t="shared" ref="AJ101" si="620">ROUNDDOWN(C101*AK101,1)</f>
        <v>4130.3</v>
      </c>
      <c r="AK101" s="125">
        <f>RCFs!C$25</f>
        <v>18.946666666666665</v>
      </c>
      <c r="AL101" s="42">
        <f t="shared" ref="AL101" si="621">ROUNDDOWN(C101*AM101,1)</f>
        <v>5470.3</v>
      </c>
      <c r="AM101" s="125">
        <f>RCFs!C$29</f>
        <v>25.09333333333333</v>
      </c>
      <c r="AN101" s="42">
        <f t="shared" ref="AN101" si="622">ROUNDDOWN(C101*AO101,1)</f>
        <v>4386.3999999999996</v>
      </c>
      <c r="AO101" s="125">
        <f>RCFs!C$33</f>
        <v>20.121274</v>
      </c>
      <c r="AP101" s="110">
        <f t="shared" ref="AP101" si="623">ROUNDDOWN(AN101*AP$6,1)</f>
        <v>6579.6</v>
      </c>
      <c r="AQ101" s="124">
        <f t="shared" ref="AQ101" si="624">ROUNDDOWN($C101*AR101,1)</f>
        <v>5709.4</v>
      </c>
      <c r="AR101" s="125">
        <f>RCFs!C$35</f>
        <v>26.19</v>
      </c>
      <c r="AS101" s="110">
        <f t="shared" ref="AS101" si="625">ROUNDDOWN(AQ101*AS$6,1)</f>
        <v>7422.2</v>
      </c>
      <c r="AT101" s="110">
        <f t="shared" ref="AT101" si="626">ROUNDDOWN(AR101*AT$6,1)</f>
        <v>37.9</v>
      </c>
      <c r="AU101" s="124">
        <f t="shared" ref="AU101" si="627">ROUNDDOWN($C101*AV101,1)</f>
        <v>4248</v>
      </c>
      <c r="AV101" s="124">
        <f>RCFs!C$37</f>
        <v>19.486666666666668</v>
      </c>
      <c r="AW101" s="124">
        <f t="shared" ref="AW101" si="628">ROUNDDOWN(AX101*C101,1)</f>
        <v>4322.2</v>
      </c>
      <c r="AX101" s="125">
        <f>RCFs!C$64</f>
        <v>19.826666666666664</v>
      </c>
      <c r="AY101" s="124">
        <f t="shared" ref="AY101" si="629">ROUNDDOWN($C101*AZ101,1)</f>
        <v>4130.3</v>
      </c>
      <c r="AZ101" s="125">
        <f>RCFs!C$39</f>
        <v>18.946666666666665</v>
      </c>
      <c r="BA101" s="124">
        <f t="shared" ref="BA101" si="630">ROUNDDOWN($C101*BB101,1)</f>
        <v>4156.8</v>
      </c>
      <c r="BB101" s="125">
        <f>RCFs!C$41</f>
        <v>19.068114999999999</v>
      </c>
    </row>
    <row r="102" spans="1:54" s="67" customFormat="1" ht="27.6" x14ac:dyDescent="0.3">
      <c r="A102" s="66">
        <v>3604</v>
      </c>
      <c r="B102" s="68" t="s">
        <v>196</v>
      </c>
      <c r="C102" s="46">
        <v>77</v>
      </c>
      <c r="D102" s="42">
        <f t="shared" si="121"/>
        <v>5795.7</v>
      </c>
      <c r="E102" s="123">
        <f>RCFs!C$43</f>
        <v>75.268515088574986</v>
      </c>
      <c r="F102" s="124">
        <f t="shared" si="105"/>
        <v>1429.1</v>
      </c>
      <c r="G102" s="123">
        <f>RCFs!C$5</f>
        <v>18.559999999999999</v>
      </c>
      <c r="H102" s="124">
        <f t="shared" si="106"/>
        <v>1429.1</v>
      </c>
      <c r="I102" s="123">
        <f>RCFs!C$5</f>
        <v>18.559999999999999</v>
      </c>
      <c r="J102" s="111">
        <f t="shared" si="496"/>
        <v>1572</v>
      </c>
      <c r="K102" s="111">
        <f t="shared" si="496"/>
        <v>1957.9</v>
      </c>
      <c r="L102" s="111">
        <f t="shared" si="496"/>
        <v>2100.8000000000002</v>
      </c>
      <c r="M102" s="111">
        <f t="shared" si="496"/>
        <v>2315.1999999999998</v>
      </c>
      <c r="N102" s="111">
        <f t="shared" si="496"/>
        <v>2858.2</v>
      </c>
      <c r="O102" s="111">
        <f t="shared" si="496"/>
        <v>3072.6</v>
      </c>
      <c r="P102" s="111">
        <f t="shared" si="496"/>
        <v>4287.3999999999996</v>
      </c>
      <c r="Q102" s="42">
        <f t="shared" si="107"/>
        <v>1486.3</v>
      </c>
      <c r="R102" s="125">
        <f>RCFs!C$7</f>
        <v>19.303333333333335</v>
      </c>
      <c r="S102" s="111">
        <f t="shared" si="265"/>
        <v>1932.1</v>
      </c>
      <c r="T102" s="111">
        <f t="shared" si="265"/>
        <v>2229.4</v>
      </c>
      <c r="U102" s="42">
        <f t="shared" si="108"/>
        <v>1418.6</v>
      </c>
      <c r="V102" s="125">
        <f>RCFs!C$9</f>
        <v>18.422999999999998</v>
      </c>
      <c r="W102" s="42">
        <f t="shared" si="124"/>
        <v>1418.6</v>
      </c>
      <c r="X102" s="125">
        <f t="shared" si="149"/>
        <v>18.422999999999998</v>
      </c>
      <c r="Y102" s="111">
        <f t="shared" si="73"/>
        <v>1560.4</v>
      </c>
      <c r="Z102" s="111">
        <f t="shared" si="497"/>
        <v>1943.4</v>
      </c>
      <c r="AA102" s="111">
        <f t="shared" si="497"/>
        <v>2298.1</v>
      </c>
      <c r="AB102" s="111">
        <f t="shared" si="497"/>
        <v>2085.3000000000002</v>
      </c>
      <c r="AC102" s="111">
        <f t="shared" si="497"/>
        <v>3078.3</v>
      </c>
      <c r="AD102" s="111">
        <f t="shared" si="497"/>
        <v>4255.7</v>
      </c>
      <c r="AE102" s="42">
        <f t="shared" si="126"/>
        <v>1473.3</v>
      </c>
      <c r="AF102" s="125">
        <f>RCFs!C$13</f>
        <v>19.133333333333333</v>
      </c>
      <c r="AG102" s="110">
        <f t="shared" si="267"/>
        <v>2430.9</v>
      </c>
      <c r="AH102" s="110">
        <f t="shared" si="267"/>
        <v>3093.9</v>
      </c>
      <c r="AI102" s="110">
        <f t="shared" si="267"/>
        <v>4419.8999999999996</v>
      </c>
      <c r="AJ102" s="42">
        <f t="shared" si="111"/>
        <v>1458.8</v>
      </c>
      <c r="AK102" s="125">
        <f>RCFs!C$25</f>
        <v>18.946666666666665</v>
      </c>
      <c r="AL102" s="42">
        <f t="shared" si="112"/>
        <v>1932.1</v>
      </c>
      <c r="AM102" s="125">
        <f>RCFs!C$29</f>
        <v>25.09333333333333</v>
      </c>
      <c r="AN102" s="42">
        <f t="shared" si="113"/>
        <v>1549.3</v>
      </c>
      <c r="AO102" s="125">
        <f>RCFs!C$33</f>
        <v>20.121274</v>
      </c>
      <c r="AP102" s="110">
        <f t="shared" si="114"/>
        <v>2323.9</v>
      </c>
      <c r="AQ102" s="124">
        <f t="shared" si="115"/>
        <v>2016.6</v>
      </c>
      <c r="AR102" s="125">
        <f>RCFs!C$35</f>
        <v>26.19</v>
      </c>
      <c r="AS102" s="110">
        <f t="shared" si="116"/>
        <v>2621.5</v>
      </c>
      <c r="AT102" s="110">
        <f t="shared" si="117"/>
        <v>37.9</v>
      </c>
      <c r="AU102" s="124">
        <f t="shared" si="118"/>
        <v>1500.4</v>
      </c>
      <c r="AV102" s="124">
        <f>RCFs!C$37</f>
        <v>19.486666666666668</v>
      </c>
      <c r="AW102" s="124">
        <f t="shared" si="128"/>
        <v>1526.6</v>
      </c>
      <c r="AX102" s="125">
        <f>RCFs!C$64</f>
        <v>19.826666666666664</v>
      </c>
      <c r="AY102" s="124">
        <f t="shared" si="119"/>
        <v>1458.8</v>
      </c>
      <c r="AZ102" s="125">
        <f>RCFs!C$39</f>
        <v>18.946666666666665</v>
      </c>
      <c r="BA102" s="124">
        <f t="shared" si="120"/>
        <v>1468.2</v>
      </c>
      <c r="BB102" s="125">
        <f>RCFs!C$41</f>
        <v>19.068114999999999</v>
      </c>
    </row>
    <row r="103" spans="1:54" s="67" customFormat="1" x14ac:dyDescent="0.3">
      <c r="A103" s="69" t="s">
        <v>207</v>
      </c>
      <c r="B103" s="68" t="s">
        <v>52</v>
      </c>
      <c r="C103" s="46">
        <v>50</v>
      </c>
      <c r="D103" s="70">
        <f t="shared" si="121"/>
        <v>926.4</v>
      </c>
      <c r="E103" s="71">
        <f>BB103</f>
        <v>18.527850000000001</v>
      </c>
      <c r="F103" s="124">
        <f t="shared" si="105"/>
        <v>906</v>
      </c>
      <c r="G103" s="123">
        <f>RCFs!F$5</f>
        <v>18.12</v>
      </c>
      <c r="H103" s="124">
        <f t="shared" si="106"/>
        <v>906</v>
      </c>
      <c r="I103" s="123">
        <f>RCFs!F$5</f>
        <v>18.12</v>
      </c>
      <c r="J103" s="111">
        <f t="shared" si="496"/>
        <v>996.6</v>
      </c>
      <c r="K103" s="111">
        <f t="shared" si="496"/>
        <v>1241.2</v>
      </c>
      <c r="L103" s="111">
        <f t="shared" si="496"/>
        <v>1331.8</v>
      </c>
      <c r="M103" s="111">
        <f t="shared" si="496"/>
        <v>1467.7</v>
      </c>
      <c r="N103" s="111">
        <f t="shared" si="496"/>
        <v>1812</v>
      </c>
      <c r="O103" s="111">
        <f t="shared" si="496"/>
        <v>1947.9</v>
      </c>
      <c r="P103" s="111">
        <f t="shared" si="496"/>
        <v>2718</v>
      </c>
      <c r="Q103" s="42">
        <f t="shared" si="107"/>
        <v>920.1</v>
      </c>
      <c r="R103" s="125">
        <f>RCFs!F$7</f>
        <v>18.402000000000001</v>
      </c>
      <c r="S103" s="111">
        <f t="shared" si="265"/>
        <v>1196.0999999999999</v>
      </c>
      <c r="T103" s="111">
        <f t="shared" si="265"/>
        <v>1380.1</v>
      </c>
      <c r="U103" s="42">
        <f t="shared" si="108"/>
        <v>878.2</v>
      </c>
      <c r="V103" s="125">
        <f>RCFs!F$9</f>
        <v>17.562999999999999</v>
      </c>
      <c r="W103" s="42">
        <f t="shared" si="124"/>
        <v>878.2</v>
      </c>
      <c r="X103" s="125">
        <f t="shared" si="149"/>
        <v>17.562999999999999</v>
      </c>
      <c r="Y103" s="111">
        <f t="shared" si="73"/>
        <v>966</v>
      </c>
      <c r="Z103" s="111">
        <f t="shared" si="497"/>
        <v>1203.0999999999999</v>
      </c>
      <c r="AA103" s="111">
        <f t="shared" si="497"/>
        <v>1422.6</v>
      </c>
      <c r="AB103" s="111">
        <f t="shared" si="497"/>
        <v>1290.9000000000001</v>
      </c>
      <c r="AC103" s="111">
        <f t="shared" si="497"/>
        <v>1905.6</v>
      </c>
      <c r="AD103" s="111">
        <f t="shared" si="497"/>
        <v>2634.5</v>
      </c>
      <c r="AE103" s="42">
        <f t="shared" si="126"/>
        <v>911.8</v>
      </c>
      <c r="AF103" s="125">
        <f>RCFs!F$13</f>
        <v>18.236000000000001</v>
      </c>
      <c r="AG103" s="110">
        <f t="shared" si="267"/>
        <v>1504.5</v>
      </c>
      <c r="AH103" s="110">
        <f t="shared" si="267"/>
        <v>1914.8</v>
      </c>
      <c r="AI103" s="110">
        <f t="shared" si="267"/>
        <v>2735.4</v>
      </c>
      <c r="AJ103" s="42">
        <f t="shared" si="111"/>
        <v>902.9</v>
      </c>
      <c r="AK103" s="125">
        <f>RCFs!F$25</f>
        <v>18.058</v>
      </c>
      <c r="AL103" s="42">
        <f>ROUND(AM103*C103,1)</f>
        <v>1196.2</v>
      </c>
      <c r="AM103" s="125">
        <f>RCFs!F$29</f>
        <v>23.923999999999999</v>
      </c>
      <c r="AN103" s="42">
        <f t="shared" si="113"/>
        <v>958.9</v>
      </c>
      <c r="AO103" s="125">
        <f>RCFs!F$33</f>
        <v>19.179939999999998</v>
      </c>
      <c r="AP103" s="110">
        <f t="shared" si="114"/>
        <v>1438.3</v>
      </c>
      <c r="AQ103" s="124">
        <f t="shared" si="115"/>
        <v>1247.8</v>
      </c>
      <c r="AR103" s="125">
        <f>RCFs!F$35</f>
        <v>24.956</v>
      </c>
      <c r="AS103" s="110">
        <f t="shared" si="116"/>
        <v>1622.1</v>
      </c>
      <c r="AT103" s="110">
        <f t="shared" si="117"/>
        <v>36.1</v>
      </c>
      <c r="AU103" s="124">
        <f t="shared" si="118"/>
        <v>929</v>
      </c>
      <c r="AV103" s="124">
        <f>RCFs!F$37</f>
        <v>18.579999999999998</v>
      </c>
      <c r="AW103" s="124">
        <f t="shared" si="128"/>
        <v>944.8</v>
      </c>
      <c r="AX103" s="125">
        <f>RCFs!F$64</f>
        <v>18.896000000000001</v>
      </c>
      <c r="AY103" s="124">
        <f t="shared" si="119"/>
        <v>920.8</v>
      </c>
      <c r="AZ103" s="125">
        <f>RCFs!F$39</f>
        <v>18.416</v>
      </c>
      <c r="BA103" s="124">
        <f t="shared" si="120"/>
        <v>926.3</v>
      </c>
      <c r="BB103" s="125">
        <f>RCFs!F$41</f>
        <v>18.527850000000001</v>
      </c>
    </row>
    <row r="104" spans="1:54" s="67" customFormat="1" x14ac:dyDescent="0.3">
      <c r="A104" s="69" t="s">
        <v>208</v>
      </c>
      <c r="B104" s="68" t="s">
        <v>53</v>
      </c>
      <c r="C104" s="46">
        <v>25</v>
      </c>
      <c r="D104" s="70">
        <f t="shared" si="121"/>
        <v>463.2</v>
      </c>
      <c r="E104" s="71">
        <f>BB104</f>
        <v>18.527850000000001</v>
      </c>
      <c r="F104" s="124">
        <f t="shared" si="105"/>
        <v>453</v>
      </c>
      <c r="G104" s="123">
        <f>RCFs!F$5</f>
        <v>18.12</v>
      </c>
      <c r="H104" s="124">
        <f t="shared" si="106"/>
        <v>453</v>
      </c>
      <c r="I104" s="123">
        <f>RCFs!F$5</f>
        <v>18.12</v>
      </c>
      <c r="J104" s="111">
        <f t="shared" si="496"/>
        <v>498.3</v>
      </c>
      <c r="K104" s="111">
        <f t="shared" si="496"/>
        <v>620.6</v>
      </c>
      <c r="L104" s="111">
        <f t="shared" si="496"/>
        <v>665.9</v>
      </c>
      <c r="M104" s="111">
        <f t="shared" si="496"/>
        <v>733.9</v>
      </c>
      <c r="N104" s="111">
        <f t="shared" si="496"/>
        <v>906</v>
      </c>
      <c r="O104" s="111">
        <f t="shared" si="496"/>
        <v>974</v>
      </c>
      <c r="P104" s="111">
        <f t="shared" si="496"/>
        <v>1359</v>
      </c>
      <c r="Q104" s="42">
        <f t="shared" si="107"/>
        <v>460</v>
      </c>
      <c r="R104" s="125">
        <f>RCFs!F$7</f>
        <v>18.402000000000001</v>
      </c>
      <c r="S104" s="111">
        <f t="shared" si="265"/>
        <v>598</v>
      </c>
      <c r="T104" s="111">
        <f t="shared" si="265"/>
        <v>690</v>
      </c>
      <c r="U104" s="42">
        <f t="shared" si="108"/>
        <v>439.1</v>
      </c>
      <c r="V104" s="125">
        <f>RCFs!F$9</f>
        <v>17.562999999999999</v>
      </c>
      <c r="W104" s="42">
        <f t="shared" si="124"/>
        <v>439.1</v>
      </c>
      <c r="X104" s="125">
        <f t="shared" si="149"/>
        <v>17.562999999999999</v>
      </c>
      <c r="Y104" s="111">
        <f t="shared" si="73"/>
        <v>483</v>
      </c>
      <c r="Z104" s="111">
        <f t="shared" si="497"/>
        <v>601.5</v>
      </c>
      <c r="AA104" s="111">
        <f t="shared" si="497"/>
        <v>711.3</v>
      </c>
      <c r="AB104" s="111">
        <f t="shared" si="497"/>
        <v>645.4</v>
      </c>
      <c r="AC104" s="111">
        <f t="shared" si="497"/>
        <v>952.8</v>
      </c>
      <c r="AD104" s="111">
        <f t="shared" si="497"/>
        <v>1317.2</v>
      </c>
      <c r="AE104" s="42">
        <f t="shared" si="126"/>
        <v>455.9</v>
      </c>
      <c r="AF104" s="125">
        <f>RCFs!F$13</f>
        <v>18.236000000000001</v>
      </c>
      <c r="AG104" s="110">
        <f t="shared" si="267"/>
        <v>752.2</v>
      </c>
      <c r="AH104" s="110">
        <f t="shared" si="267"/>
        <v>957.4</v>
      </c>
      <c r="AI104" s="110">
        <f t="shared" si="267"/>
        <v>1367.7</v>
      </c>
      <c r="AJ104" s="42">
        <f t="shared" si="111"/>
        <v>451.4</v>
      </c>
      <c r="AK104" s="125">
        <f>RCFs!F$25</f>
        <v>18.058</v>
      </c>
      <c r="AL104" s="42">
        <f>ROUND(AM104*C104,1)</f>
        <v>598.1</v>
      </c>
      <c r="AM104" s="125">
        <f>RCFs!F$29</f>
        <v>23.923999999999999</v>
      </c>
      <c r="AN104" s="42">
        <f t="shared" si="113"/>
        <v>479.4</v>
      </c>
      <c r="AO104" s="125">
        <f>RCFs!F$33</f>
        <v>19.179939999999998</v>
      </c>
      <c r="AP104" s="110">
        <f t="shared" si="114"/>
        <v>719.1</v>
      </c>
      <c r="AQ104" s="124">
        <f t="shared" si="115"/>
        <v>623.9</v>
      </c>
      <c r="AR104" s="125">
        <f>RCFs!F$35</f>
        <v>24.956</v>
      </c>
      <c r="AS104" s="110">
        <f t="shared" si="116"/>
        <v>811</v>
      </c>
      <c r="AT104" s="110">
        <f t="shared" si="117"/>
        <v>36.1</v>
      </c>
      <c r="AU104" s="124">
        <f t="shared" si="118"/>
        <v>464.5</v>
      </c>
      <c r="AV104" s="124">
        <f>RCFs!F$37</f>
        <v>18.579999999999998</v>
      </c>
      <c r="AW104" s="124">
        <f t="shared" si="128"/>
        <v>472.4</v>
      </c>
      <c r="AX104" s="125">
        <f>RCFs!F$64</f>
        <v>18.896000000000001</v>
      </c>
      <c r="AY104" s="124">
        <f t="shared" si="119"/>
        <v>460.4</v>
      </c>
      <c r="AZ104" s="125">
        <f>RCFs!F$39</f>
        <v>18.416</v>
      </c>
      <c r="BA104" s="124">
        <f t="shared" si="120"/>
        <v>463.1</v>
      </c>
      <c r="BB104" s="125">
        <f>RCFs!F$41</f>
        <v>18.527850000000001</v>
      </c>
    </row>
    <row r="105" spans="1:54" s="67" customFormat="1" x14ac:dyDescent="0.3">
      <c r="A105" s="69" t="s">
        <v>209</v>
      </c>
      <c r="B105" s="68" t="s">
        <v>54</v>
      </c>
      <c r="C105" s="46">
        <v>50</v>
      </c>
      <c r="D105" s="70">
        <f t="shared" si="121"/>
        <v>926.4</v>
      </c>
      <c r="E105" s="71">
        <f>BB105</f>
        <v>18.527850000000001</v>
      </c>
      <c r="F105" s="124">
        <f t="shared" si="105"/>
        <v>906</v>
      </c>
      <c r="G105" s="123">
        <f>RCFs!F$5</f>
        <v>18.12</v>
      </c>
      <c r="H105" s="124">
        <f t="shared" si="106"/>
        <v>906</v>
      </c>
      <c r="I105" s="123">
        <f>RCFs!F$5</f>
        <v>18.12</v>
      </c>
      <c r="J105" s="111">
        <f t="shared" si="496"/>
        <v>996.6</v>
      </c>
      <c r="K105" s="111">
        <f t="shared" si="496"/>
        <v>1241.2</v>
      </c>
      <c r="L105" s="111">
        <f t="shared" si="496"/>
        <v>1331.8</v>
      </c>
      <c r="M105" s="111">
        <f t="shared" si="496"/>
        <v>1467.7</v>
      </c>
      <c r="N105" s="111">
        <f t="shared" si="496"/>
        <v>1812</v>
      </c>
      <c r="O105" s="111">
        <f t="shared" si="496"/>
        <v>1947.9</v>
      </c>
      <c r="P105" s="111">
        <f t="shared" si="496"/>
        <v>2718</v>
      </c>
      <c r="Q105" s="42">
        <f t="shared" si="107"/>
        <v>920.1</v>
      </c>
      <c r="R105" s="125">
        <f>RCFs!F$7</f>
        <v>18.402000000000001</v>
      </c>
      <c r="S105" s="111">
        <f t="shared" si="265"/>
        <v>1196.0999999999999</v>
      </c>
      <c r="T105" s="111">
        <f t="shared" si="265"/>
        <v>1380.1</v>
      </c>
      <c r="U105" s="42">
        <f t="shared" si="108"/>
        <v>878.2</v>
      </c>
      <c r="V105" s="125">
        <f>RCFs!F$9</f>
        <v>17.562999999999999</v>
      </c>
      <c r="W105" s="42">
        <f t="shared" si="124"/>
        <v>878.2</v>
      </c>
      <c r="X105" s="125">
        <f t="shared" si="149"/>
        <v>17.562999999999999</v>
      </c>
      <c r="Y105" s="111">
        <f t="shared" si="73"/>
        <v>966</v>
      </c>
      <c r="Z105" s="111">
        <f t="shared" si="497"/>
        <v>1203.0999999999999</v>
      </c>
      <c r="AA105" s="111">
        <f t="shared" si="497"/>
        <v>1422.6</v>
      </c>
      <c r="AB105" s="111">
        <f t="shared" si="497"/>
        <v>1290.9000000000001</v>
      </c>
      <c r="AC105" s="111">
        <f t="shared" si="497"/>
        <v>1905.6</v>
      </c>
      <c r="AD105" s="111">
        <f t="shared" si="497"/>
        <v>2634.5</v>
      </c>
      <c r="AE105" s="42">
        <f t="shared" si="126"/>
        <v>911.8</v>
      </c>
      <c r="AF105" s="125">
        <f>RCFs!F$13</f>
        <v>18.236000000000001</v>
      </c>
      <c r="AG105" s="110">
        <f t="shared" si="267"/>
        <v>1504.5</v>
      </c>
      <c r="AH105" s="110">
        <f t="shared" si="267"/>
        <v>1914.8</v>
      </c>
      <c r="AI105" s="110">
        <f t="shared" si="267"/>
        <v>2735.4</v>
      </c>
      <c r="AJ105" s="42">
        <f t="shared" si="111"/>
        <v>902.9</v>
      </c>
      <c r="AK105" s="125">
        <f>RCFs!F$25</f>
        <v>18.058</v>
      </c>
      <c r="AL105" s="42">
        <f>ROUND(AM105*C105,1)</f>
        <v>1196.2</v>
      </c>
      <c r="AM105" s="125">
        <f>RCFs!F$29</f>
        <v>23.923999999999999</v>
      </c>
      <c r="AN105" s="42">
        <f t="shared" si="113"/>
        <v>958.9</v>
      </c>
      <c r="AO105" s="125">
        <f>RCFs!F$33</f>
        <v>19.179939999999998</v>
      </c>
      <c r="AP105" s="110">
        <f t="shared" si="114"/>
        <v>1438.3</v>
      </c>
      <c r="AQ105" s="124">
        <f t="shared" si="115"/>
        <v>1247.8</v>
      </c>
      <c r="AR105" s="125">
        <f>RCFs!F$35</f>
        <v>24.956</v>
      </c>
      <c r="AS105" s="110">
        <f t="shared" si="116"/>
        <v>1622.1</v>
      </c>
      <c r="AT105" s="110">
        <f t="shared" si="117"/>
        <v>36.1</v>
      </c>
      <c r="AU105" s="124">
        <f t="shared" si="118"/>
        <v>929</v>
      </c>
      <c r="AV105" s="124">
        <f>RCFs!F$37</f>
        <v>18.579999999999998</v>
      </c>
      <c r="AW105" s="124">
        <f t="shared" si="128"/>
        <v>944.8</v>
      </c>
      <c r="AX105" s="125">
        <f>RCFs!F$64</f>
        <v>18.896000000000001</v>
      </c>
      <c r="AY105" s="124">
        <f t="shared" si="119"/>
        <v>920.8</v>
      </c>
      <c r="AZ105" s="125">
        <f>RCFs!F$39</f>
        <v>18.416</v>
      </c>
      <c r="BA105" s="124">
        <f t="shared" si="120"/>
        <v>926.3</v>
      </c>
      <c r="BB105" s="125">
        <f>RCFs!F$41</f>
        <v>18.527850000000001</v>
      </c>
    </row>
    <row r="106" spans="1:54" s="67" customFormat="1" x14ac:dyDescent="0.3">
      <c r="A106" s="69" t="s">
        <v>210</v>
      </c>
      <c r="B106" s="68" t="s">
        <v>55</v>
      </c>
      <c r="C106" s="46">
        <v>50</v>
      </c>
      <c r="D106" s="70">
        <f t="shared" si="121"/>
        <v>926.4</v>
      </c>
      <c r="E106" s="71">
        <f>BB106</f>
        <v>18.527850000000001</v>
      </c>
      <c r="F106" s="124">
        <f t="shared" si="105"/>
        <v>906</v>
      </c>
      <c r="G106" s="123">
        <f>RCFs!F$5</f>
        <v>18.12</v>
      </c>
      <c r="H106" s="124">
        <f t="shared" si="106"/>
        <v>906</v>
      </c>
      <c r="I106" s="123">
        <f>RCFs!F$5</f>
        <v>18.12</v>
      </c>
      <c r="J106" s="111">
        <f t="shared" si="496"/>
        <v>996.6</v>
      </c>
      <c r="K106" s="111">
        <f t="shared" si="496"/>
        <v>1241.2</v>
      </c>
      <c r="L106" s="111">
        <f t="shared" si="496"/>
        <v>1331.8</v>
      </c>
      <c r="M106" s="111">
        <f t="shared" si="496"/>
        <v>1467.7</v>
      </c>
      <c r="N106" s="111">
        <f t="shared" si="496"/>
        <v>1812</v>
      </c>
      <c r="O106" s="111">
        <f t="shared" si="496"/>
        <v>1947.9</v>
      </c>
      <c r="P106" s="111">
        <f t="shared" si="496"/>
        <v>2718</v>
      </c>
      <c r="Q106" s="42">
        <f t="shared" si="107"/>
        <v>920.1</v>
      </c>
      <c r="R106" s="125">
        <f>RCFs!F$7</f>
        <v>18.402000000000001</v>
      </c>
      <c r="S106" s="111">
        <f t="shared" si="265"/>
        <v>1196.0999999999999</v>
      </c>
      <c r="T106" s="111">
        <f t="shared" si="265"/>
        <v>1380.1</v>
      </c>
      <c r="U106" s="42">
        <f t="shared" si="108"/>
        <v>878.2</v>
      </c>
      <c r="V106" s="125">
        <f>RCFs!F$9</f>
        <v>17.562999999999999</v>
      </c>
      <c r="W106" s="42">
        <f t="shared" si="124"/>
        <v>878.2</v>
      </c>
      <c r="X106" s="125">
        <f t="shared" si="149"/>
        <v>17.562999999999999</v>
      </c>
      <c r="Y106" s="111">
        <f t="shared" si="73"/>
        <v>966</v>
      </c>
      <c r="Z106" s="111">
        <f t="shared" si="497"/>
        <v>1203.0999999999999</v>
      </c>
      <c r="AA106" s="111">
        <f t="shared" si="497"/>
        <v>1422.6</v>
      </c>
      <c r="AB106" s="111">
        <f t="shared" si="497"/>
        <v>1290.9000000000001</v>
      </c>
      <c r="AC106" s="111">
        <f t="shared" si="497"/>
        <v>1905.6</v>
      </c>
      <c r="AD106" s="111">
        <f t="shared" si="497"/>
        <v>2634.5</v>
      </c>
      <c r="AE106" s="42">
        <f t="shared" si="126"/>
        <v>911.8</v>
      </c>
      <c r="AF106" s="125">
        <f>RCFs!F$13</f>
        <v>18.236000000000001</v>
      </c>
      <c r="AG106" s="110">
        <f t="shared" si="267"/>
        <v>1504.5</v>
      </c>
      <c r="AH106" s="110">
        <f t="shared" si="267"/>
        <v>1914.8</v>
      </c>
      <c r="AI106" s="110">
        <f t="shared" si="267"/>
        <v>2735.4</v>
      </c>
      <c r="AJ106" s="42">
        <f t="shared" si="111"/>
        <v>902.9</v>
      </c>
      <c r="AK106" s="125">
        <f>RCFs!F$25</f>
        <v>18.058</v>
      </c>
      <c r="AL106" s="42">
        <f>ROUND(AM106*C106,1)</f>
        <v>1196.2</v>
      </c>
      <c r="AM106" s="125">
        <f>RCFs!F$29</f>
        <v>23.923999999999999</v>
      </c>
      <c r="AN106" s="42">
        <f t="shared" si="113"/>
        <v>958.9</v>
      </c>
      <c r="AO106" s="125">
        <f>RCFs!F$33</f>
        <v>19.179939999999998</v>
      </c>
      <c r="AP106" s="110">
        <f t="shared" si="114"/>
        <v>1438.3</v>
      </c>
      <c r="AQ106" s="124">
        <f t="shared" si="115"/>
        <v>1247.8</v>
      </c>
      <c r="AR106" s="125">
        <f>RCFs!F$35</f>
        <v>24.956</v>
      </c>
      <c r="AS106" s="110">
        <f t="shared" si="116"/>
        <v>1622.1</v>
      </c>
      <c r="AT106" s="110">
        <f t="shared" si="117"/>
        <v>36.1</v>
      </c>
      <c r="AU106" s="124">
        <f t="shared" si="118"/>
        <v>929</v>
      </c>
      <c r="AV106" s="124">
        <f>RCFs!F$37</f>
        <v>18.579999999999998</v>
      </c>
      <c r="AW106" s="124">
        <f t="shared" si="128"/>
        <v>944.8</v>
      </c>
      <c r="AX106" s="125">
        <f>RCFs!F$64</f>
        <v>18.896000000000001</v>
      </c>
      <c r="AY106" s="124">
        <f t="shared" si="119"/>
        <v>920.8</v>
      </c>
      <c r="AZ106" s="125">
        <f>RCFs!F$39</f>
        <v>18.416</v>
      </c>
      <c r="BA106" s="124">
        <f t="shared" si="120"/>
        <v>926.3</v>
      </c>
      <c r="BB106" s="125">
        <f>RCFs!F$41</f>
        <v>18.527850000000001</v>
      </c>
    </row>
    <row r="107" spans="1:54" s="67" customFormat="1" ht="27.6" x14ac:dyDescent="0.3">
      <c r="A107" s="69" t="s">
        <v>211</v>
      </c>
      <c r="B107" s="68" t="s">
        <v>61</v>
      </c>
      <c r="C107" s="46">
        <v>60</v>
      </c>
      <c r="D107" s="70">
        <f t="shared" si="121"/>
        <v>1111.7</v>
      </c>
      <c r="E107" s="71">
        <f>BB107</f>
        <v>18.527850000000001</v>
      </c>
      <c r="F107" s="124">
        <f t="shared" si="105"/>
        <v>1087.2</v>
      </c>
      <c r="G107" s="123">
        <f>RCFs!F$5</f>
        <v>18.12</v>
      </c>
      <c r="H107" s="124">
        <f t="shared" si="106"/>
        <v>1087.2</v>
      </c>
      <c r="I107" s="123">
        <f>RCFs!F$5</f>
        <v>18.12</v>
      </c>
      <c r="J107" s="111">
        <f t="shared" si="496"/>
        <v>1195.9000000000001</v>
      </c>
      <c r="K107" s="111">
        <f t="shared" si="496"/>
        <v>1489.5</v>
      </c>
      <c r="L107" s="111">
        <f t="shared" si="496"/>
        <v>1598.2</v>
      </c>
      <c r="M107" s="111">
        <f t="shared" si="496"/>
        <v>1761.3</v>
      </c>
      <c r="N107" s="111">
        <f t="shared" si="496"/>
        <v>2174.4</v>
      </c>
      <c r="O107" s="111">
        <f t="shared" si="496"/>
        <v>2337.5</v>
      </c>
      <c r="P107" s="111">
        <f t="shared" si="496"/>
        <v>3261.6</v>
      </c>
      <c r="Q107" s="42">
        <f t="shared" si="107"/>
        <v>1104.0999999999999</v>
      </c>
      <c r="R107" s="125">
        <f>RCFs!F$7</f>
        <v>18.402000000000001</v>
      </c>
      <c r="S107" s="111">
        <f t="shared" si="265"/>
        <v>1435.3</v>
      </c>
      <c r="T107" s="111">
        <f t="shared" si="265"/>
        <v>1656.1</v>
      </c>
      <c r="U107" s="42">
        <f t="shared" si="108"/>
        <v>1053.8</v>
      </c>
      <c r="V107" s="125">
        <f>RCFs!F$9</f>
        <v>17.562999999999999</v>
      </c>
      <c r="W107" s="42">
        <f t="shared" si="124"/>
        <v>1053.8</v>
      </c>
      <c r="X107" s="125">
        <f t="shared" si="149"/>
        <v>17.562999999999999</v>
      </c>
      <c r="Y107" s="111">
        <f t="shared" si="73"/>
        <v>1159.0999999999999</v>
      </c>
      <c r="Z107" s="111">
        <f t="shared" si="497"/>
        <v>1443.7</v>
      </c>
      <c r="AA107" s="111">
        <f t="shared" si="497"/>
        <v>1707.1</v>
      </c>
      <c r="AB107" s="111">
        <f t="shared" si="497"/>
        <v>1549.1</v>
      </c>
      <c r="AC107" s="111">
        <f t="shared" si="497"/>
        <v>2286.6999999999998</v>
      </c>
      <c r="AD107" s="111">
        <f t="shared" si="497"/>
        <v>3161.3</v>
      </c>
      <c r="AE107" s="42">
        <f t="shared" si="126"/>
        <v>1094.2</v>
      </c>
      <c r="AF107" s="125">
        <f>RCFs!F$13</f>
        <v>18.236000000000001</v>
      </c>
      <c r="AG107" s="110">
        <f t="shared" si="267"/>
        <v>1805.4</v>
      </c>
      <c r="AH107" s="110">
        <f t="shared" si="267"/>
        <v>2297.8000000000002</v>
      </c>
      <c r="AI107" s="110">
        <f t="shared" si="267"/>
        <v>3282.6</v>
      </c>
      <c r="AJ107" s="42">
        <f t="shared" si="111"/>
        <v>1083.4000000000001</v>
      </c>
      <c r="AK107" s="125">
        <f>RCFs!F$25</f>
        <v>18.058</v>
      </c>
      <c r="AL107" s="42">
        <f>ROUND(AM107*C107,1)</f>
        <v>1435.4</v>
      </c>
      <c r="AM107" s="125">
        <f>RCFs!F$29</f>
        <v>23.923999999999999</v>
      </c>
      <c r="AN107" s="42">
        <f t="shared" si="113"/>
        <v>1150.7</v>
      </c>
      <c r="AO107" s="125">
        <f>RCFs!F$33</f>
        <v>19.179939999999998</v>
      </c>
      <c r="AP107" s="110">
        <f t="shared" si="114"/>
        <v>1726</v>
      </c>
      <c r="AQ107" s="124">
        <f t="shared" si="115"/>
        <v>1497.3</v>
      </c>
      <c r="AR107" s="125">
        <f>RCFs!F$35</f>
        <v>24.956</v>
      </c>
      <c r="AS107" s="110">
        <f t="shared" si="116"/>
        <v>1946.4</v>
      </c>
      <c r="AT107" s="110">
        <f t="shared" si="117"/>
        <v>36.1</v>
      </c>
      <c r="AU107" s="124">
        <f t="shared" si="118"/>
        <v>1114.8</v>
      </c>
      <c r="AV107" s="124">
        <f>RCFs!F$37</f>
        <v>18.579999999999998</v>
      </c>
      <c r="AW107" s="124">
        <f t="shared" si="128"/>
        <v>1133.7</v>
      </c>
      <c r="AX107" s="125">
        <f>RCFs!F$64</f>
        <v>18.896000000000001</v>
      </c>
      <c r="AY107" s="124">
        <f t="shared" si="119"/>
        <v>1104.9000000000001</v>
      </c>
      <c r="AZ107" s="125">
        <f>RCFs!F$39</f>
        <v>18.416</v>
      </c>
      <c r="BA107" s="124">
        <f t="shared" si="120"/>
        <v>1111.5999999999999</v>
      </c>
      <c r="BB107" s="125">
        <f>RCFs!F$41</f>
        <v>18.527850000000001</v>
      </c>
    </row>
    <row r="108" spans="1:54" s="67" customFormat="1" x14ac:dyDescent="0.3">
      <c r="A108" s="66">
        <v>3636</v>
      </c>
      <c r="B108" s="68" t="s">
        <v>197</v>
      </c>
      <c r="C108" s="46">
        <v>100</v>
      </c>
      <c r="D108" s="42">
        <f t="shared" si="121"/>
        <v>7526.9</v>
      </c>
      <c r="E108" s="123">
        <f>RCFs!C$43</f>
        <v>75.268515088574986</v>
      </c>
      <c r="F108" s="124">
        <f t="shared" si="105"/>
        <v>1856</v>
      </c>
      <c r="G108" s="123">
        <f>RCFs!C$5</f>
        <v>18.559999999999999</v>
      </c>
      <c r="H108" s="124">
        <f t="shared" si="106"/>
        <v>1856</v>
      </c>
      <c r="I108" s="123">
        <f>RCFs!C$5</f>
        <v>18.559999999999999</v>
      </c>
      <c r="J108" s="111">
        <f t="shared" si="496"/>
        <v>2041.6</v>
      </c>
      <c r="K108" s="111">
        <f t="shared" si="496"/>
        <v>2542.6999999999998</v>
      </c>
      <c r="L108" s="111">
        <f t="shared" si="496"/>
        <v>2728.3</v>
      </c>
      <c r="M108" s="111">
        <f t="shared" si="496"/>
        <v>3006.7</v>
      </c>
      <c r="N108" s="111">
        <f t="shared" si="496"/>
        <v>3712</v>
      </c>
      <c r="O108" s="111">
        <f t="shared" si="496"/>
        <v>3990.4</v>
      </c>
      <c r="P108" s="111">
        <f t="shared" si="496"/>
        <v>5568</v>
      </c>
      <c r="Q108" s="42">
        <f t="shared" si="107"/>
        <v>1930.3</v>
      </c>
      <c r="R108" s="125">
        <f>RCFs!C$7</f>
        <v>19.303333333333335</v>
      </c>
      <c r="S108" s="111">
        <f t="shared" si="265"/>
        <v>2509.3000000000002</v>
      </c>
      <c r="T108" s="111">
        <f t="shared" si="265"/>
        <v>2895.4</v>
      </c>
      <c r="U108" s="42">
        <f t="shared" si="108"/>
        <v>1842.3</v>
      </c>
      <c r="V108" s="125">
        <f>RCFs!C$9</f>
        <v>18.422999999999998</v>
      </c>
      <c r="W108" s="42">
        <f t="shared" si="124"/>
        <v>1842.3</v>
      </c>
      <c r="X108" s="125">
        <f t="shared" si="149"/>
        <v>18.422999999999998</v>
      </c>
      <c r="Y108" s="111">
        <f t="shared" si="73"/>
        <v>2026.5</v>
      </c>
      <c r="Z108" s="111">
        <f t="shared" si="497"/>
        <v>2524</v>
      </c>
      <c r="AA108" s="111">
        <f t="shared" si="497"/>
        <v>2984.5</v>
      </c>
      <c r="AB108" s="111">
        <f t="shared" si="497"/>
        <v>2708.2</v>
      </c>
      <c r="AC108" s="111">
        <f t="shared" si="497"/>
        <v>3997.8</v>
      </c>
      <c r="AD108" s="111">
        <f t="shared" si="497"/>
        <v>5526.9</v>
      </c>
      <c r="AE108" s="42">
        <f t="shared" si="126"/>
        <v>1913.3</v>
      </c>
      <c r="AF108" s="125">
        <f>RCFs!C$13</f>
        <v>19.133333333333333</v>
      </c>
      <c r="AG108" s="110">
        <f t="shared" si="267"/>
        <v>3156.9</v>
      </c>
      <c r="AH108" s="110">
        <f t="shared" si="267"/>
        <v>4017.9</v>
      </c>
      <c r="AI108" s="110">
        <f t="shared" si="267"/>
        <v>5739.9</v>
      </c>
      <c r="AJ108" s="42">
        <f t="shared" si="111"/>
        <v>1894.6</v>
      </c>
      <c r="AK108" s="125">
        <f>RCFs!C$25</f>
        <v>18.946666666666665</v>
      </c>
      <c r="AL108" s="42">
        <f t="shared" ref="AL108:AL120" si="631">ROUNDDOWN(C108*AM108,1)</f>
        <v>2509.3000000000002</v>
      </c>
      <c r="AM108" s="125">
        <f>RCFs!C$29</f>
        <v>25.09333333333333</v>
      </c>
      <c r="AN108" s="42">
        <f t="shared" si="113"/>
        <v>2012.1</v>
      </c>
      <c r="AO108" s="125">
        <f>RCFs!C$33</f>
        <v>20.121274</v>
      </c>
      <c r="AP108" s="110">
        <f t="shared" si="114"/>
        <v>3018.1</v>
      </c>
      <c r="AQ108" s="124">
        <f t="shared" si="115"/>
        <v>2619</v>
      </c>
      <c r="AR108" s="125">
        <f>RCFs!C$35</f>
        <v>26.19</v>
      </c>
      <c r="AS108" s="110">
        <f t="shared" si="116"/>
        <v>3404.7</v>
      </c>
      <c r="AT108" s="110">
        <f t="shared" si="117"/>
        <v>37.9</v>
      </c>
      <c r="AU108" s="124">
        <f t="shared" si="118"/>
        <v>1948.6</v>
      </c>
      <c r="AV108" s="124">
        <f>RCFs!C$37</f>
        <v>19.486666666666668</v>
      </c>
      <c r="AW108" s="124">
        <f t="shared" si="128"/>
        <v>1982.6</v>
      </c>
      <c r="AX108" s="125">
        <f>RCFs!C$64</f>
        <v>19.826666666666664</v>
      </c>
      <c r="AY108" s="124">
        <f t="shared" si="119"/>
        <v>1894.6</v>
      </c>
      <c r="AZ108" s="125">
        <f>RCFs!C$39</f>
        <v>18.946666666666665</v>
      </c>
      <c r="BA108" s="124">
        <f t="shared" si="120"/>
        <v>1906.8</v>
      </c>
      <c r="BB108" s="125">
        <f>RCFs!C$41</f>
        <v>19.068114999999999</v>
      </c>
    </row>
    <row r="109" spans="1:54" s="67" customFormat="1" ht="27.6" x14ac:dyDescent="0.3">
      <c r="A109" s="66">
        <v>3637</v>
      </c>
      <c r="B109" s="68" t="s">
        <v>198</v>
      </c>
      <c r="C109" s="46">
        <v>78</v>
      </c>
      <c r="D109" s="42">
        <f t="shared" si="121"/>
        <v>5870.9</v>
      </c>
      <c r="E109" s="123">
        <f>RCFs!C$43</f>
        <v>75.268515088574986</v>
      </c>
      <c r="F109" s="124">
        <f t="shared" si="105"/>
        <v>1447.6</v>
      </c>
      <c r="G109" s="123">
        <f>RCFs!C$5</f>
        <v>18.559999999999999</v>
      </c>
      <c r="H109" s="124">
        <f t="shared" si="106"/>
        <v>1447.6</v>
      </c>
      <c r="I109" s="123">
        <f>RCFs!C$5</f>
        <v>18.559999999999999</v>
      </c>
      <c r="J109" s="111">
        <f t="shared" ref="J109:P120" si="632">ROUND($C109*$I109*J$6,1)</f>
        <v>1592.4</v>
      </c>
      <c r="K109" s="111">
        <f t="shared" si="632"/>
        <v>1983.3</v>
      </c>
      <c r="L109" s="111">
        <f t="shared" si="632"/>
        <v>2128.1</v>
      </c>
      <c r="M109" s="111">
        <f t="shared" si="632"/>
        <v>2345.1999999999998</v>
      </c>
      <c r="N109" s="111">
        <f t="shared" si="632"/>
        <v>2895.4</v>
      </c>
      <c r="O109" s="111">
        <f t="shared" si="632"/>
        <v>3112.5</v>
      </c>
      <c r="P109" s="111">
        <f t="shared" si="632"/>
        <v>4343</v>
      </c>
      <c r="Q109" s="42">
        <f t="shared" si="107"/>
        <v>1505.6</v>
      </c>
      <c r="R109" s="125">
        <f>RCFs!C$7</f>
        <v>19.303333333333335</v>
      </c>
      <c r="S109" s="111">
        <f t="shared" ref="S109:T120" si="633">ROUNDDOWN($Q109*S$6,1)</f>
        <v>1957.2</v>
      </c>
      <c r="T109" s="111">
        <f t="shared" si="633"/>
        <v>2258.4</v>
      </c>
      <c r="U109" s="42">
        <f t="shared" si="108"/>
        <v>1437</v>
      </c>
      <c r="V109" s="125">
        <f>RCFs!C$9</f>
        <v>18.422999999999998</v>
      </c>
      <c r="W109" s="42">
        <f t="shared" si="124"/>
        <v>1437</v>
      </c>
      <c r="X109" s="125">
        <f t="shared" si="149"/>
        <v>18.422999999999998</v>
      </c>
      <c r="Y109" s="111">
        <f t="shared" si="73"/>
        <v>1580.7</v>
      </c>
      <c r="Z109" s="111">
        <f t="shared" ref="Z109:AD120" si="634">ROUND($C109*$X109*Z$6,1)</f>
        <v>1968.7</v>
      </c>
      <c r="AA109" s="111">
        <f t="shared" si="634"/>
        <v>2327.9</v>
      </c>
      <c r="AB109" s="111">
        <f t="shared" si="634"/>
        <v>2112.4</v>
      </c>
      <c r="AC109" s="111">
        <f t="shared" si="634"/>
        <v>3118.3</v>
      </c>
      <c r="AD109" s="111">
        <f t="shared" si="634"/>
        <v>4311</v>
      </c>
      <c r="AE109" s="42">
        <f t="shared" si="126"/>
        <v>1492.4</v>
      </c>
      <c r="AF109" s="125">
        <f>RCFs!C$13</f>
        <v>19.133333333333333</v>
      </c>
      <c r="AG109" s="110">
        <f t="shared" ref="AG109:AI120" si="635">ROUND($AE109*AG$6,1)</f>
        <v>2462.5</v>
      </c>
      <c r="AH109" s="110">
        <f t="shared" si="635"/>
        <v>3134</v>
      </c>
      <c r="AI109" s="110">
        <f t="shared" si="635"/>
        <v>4477.2</v>
      </c>
      <c r="AJ109" s="42">
        <f t="shared" si="111"/>
        <v>1477.8</v>
      </c>
      <c r="AK109" s="125">
        <f>RCFs!C$25</f>
        <v>18.946666666666665</v>
      </c>
      <c r="AL109" s="42">
        <f t="shared" si="631"/>
        <v>1957.2</v>
      </c>
      <c r="AM109" s="125">
        <f>RCFs!C$29</f>
        <v>25.09333333333333</v>
      </c>
      <c r="AN109" s="42">
        <f t="shared" si="113"/>
        <v>1569.4</v>
      </c>
      <c r="AO109" s="125">
        <f>RCFs!C$33</f>
        <v>20.121274</v>
      </c>
      <c r="AP109" s="110">
        <f t="shared" si="114"/>
        <v>2354.1</v>
      </c>
      <c r="AQ109" s="124">
        <f t="shared" si="115"/>
        <v>2042.8</v>
      </c>
      <c r="AR109" s="125">
        <f>RCFs!C$35</f>
        <v>26.19</v>
      </c>
      <c r="AS109" s="110">
        <f t="shared" si="116"/>
        <v>2655.6</v>
      </c>
      <c r="AT109" s="110">
        <f t="shared" si="117"/>
        <v>37.9</v>
      </c>
      <c r="AU109" s="124">
        <f t="shared" si="118"/>
        <v>1519.9</v>
      </c>
      <c r="AV109" s="124">
        <f>RCFs!C$37</f>
        <v>19.486666666666668</v>
      </c>
      <c r="AW109" s="124">
        <f t="shared" si="128"/>
        <v>1546.4</v>
      </c>
      <c r="AX109" s="125">
        <f>RCFs!C$64</f>
        <v>19.826666666666664</v>
      </c>
      <c r="AY109" s="124">
        <f t="shared" si="119"/>
        <v>1477.8</v>
      </c>
      <c r="AZ109" s="125">
        <f>RCFs!C$39</f>
        <v>18.946666666666665</v>
      </c>
      <c r="BA109" s="124">
        <f t="shared" si="120"/>
        <v>1487.3</v>
      </c>
      <c r="BB109" s="125">
        <f>RCFs!C$41</f>
        <v>19.068114999999999</v>
      </c>
    </row>
    <row r="110" spans="1:54" s="67" customFormat="1" x14ac:dyDescent="0.3">
      <c r="A110" s="66">
        <v>5101</v>
      </c>
      <c r="B110" s="68" t="s">
        <v>268</v>
      </c>
      <c r="C110" s="46">
        <v>50</v>
      </c>
      <c r="D110" s="42">
        <f t="shared" ref="D110" si="636">ROUND(E110*C110,1)</f>
        <v>3763.4</v>
      </c>
      <c r="E110" s="123">
        <f>RCFs!C$43</f>
        <v>75.268515088574986</v>
      </c>
      <c r="F110" s="124">
        <f t="shared" ref="F110" si="637">ROUNDDOWN($C110*G110,1)</f>
        <v>928</v>
      </c>
      <c r="G110" s="123">
        <f>RCFs!C$5</f>
        <v>18.559999999999999</v>
      </c>
      <c r="H110" s="124">
        <f t="shared" ref="H110" si="638">ROUNDDOWN($C110*I110,1)</f>
        <v>928</v>
      </c>
      <c r="I110" s="123">
        <f>RCFs!C$5</f>
        <v>18.559999999999999</v>
      </c>
      <c r="J110" s="111">
        <f t="shared" si="632"/>
        <v>1020.8</v>
      </c>
      <c r="K110" s="111">
        <f t="shared" si="632"/>
        <v>1271.4000000000001</v>
      </c>
      <c r="L110" s="111">
        <f t="shared" si="632"/>
        <v>1364.2</v>
      </c>
      <c r="M110" s="111">
        <f t="shared" si="632"/>
        <v>1503.4</v>
      </c>
      <c r="N110" s="111">
        <f t="shared" si="632"/>
        <v>1856</v>
      </c>
      <c r="O110" s="111">
        <f t="shared" si="632"/>
        <v>1995.2</v>
      </c>
      <c r="P110" s="111">
        <f t="shared" si="632"/>
        <v>2784</v>
      </c>
      <c r="Q110" s="42">
        <f t="shared" ref="Q110" si="639">ROUNDDOWN(R110*C110,1)</f>
        <v>965.1</v>
      </c>
      <c r="R110" s="125">
        <f>RCFs!C$7</f>
        <v>19.303333333333335</v>
      </c>
      <c r="S110" s="111">
        <f t="shared" si="633"/>
        <v>1254.5999999999999</v>
      </c>
      <c r="T110" s="111">
        <f t="shared" si="633"/>
        <v>1447.6</v>
      </c>
      <c r="U110" s="42">
        <f t="shared" ref="U110" si="640">ROUND(V110*C110,1)</f>
        <v>921.2</v>
      </c>
      <c r="V110" s="125">
        <f>RCFs!C$9</f>
        <v>18.422999999999998</v>
      </c>
      <c r="W110" s="42">
        <f t="shared" ref="W110" si="641">ROUND(X110*C110,1)</f>
        <v>921.2</v>
      </c>
      <c r="X110" s="125">
        <f t="shared" ref="X110" si="642">V110</f>
        <v>18.422999999999998</v>
      </c>
      <c r="Y110" s="111">
        <f t="shared" si="73"/>
        <v>1013.3</v>
      </c>
      <c r="Z110" s="111">
        <f t="shared" si="634"/>
        <v>1262</v>
      </c>
      <c r="AA110" s="111">
        <f t="shared" si="634"/>
        <v>1492.3</v>
      </c>
      <c r="AB110" s="111">
        <f t="shared" si="634"/>
        <v>1354.1</v>
      </c>
      <c r="AC110" s="111">
        <f t="shared" si="634"/>
        <v>1998.9</v>
      </c>
      <c r="AD110" s="111">
        <f t="shared" si="634"/>
        <v>2763.5</v>
      </c>
      <c r="AE110" s="42">
        <f t="shared" ref="AE110" si="643">ROUND(AF110*C110,1)</f>
        <v>956.7</v>
      </c>
      <c r="AF110" s="125">
        <f>RCFs!C$13</f>
        <v>19.133333333333333</v>
      </c>
      <c r="AG110" s="110">
        <f t="shared" si="635"/>
        <v>1578.6</v>
      </c>
      <c r="AH110" s="110">
        <f t="shared" si="635"/>
        <v>2009.1</v>
      </c>
      <c r="AI110" s="110">
        <f t="shared" si="635"/>
        <v>2870.1</v>
      </c>
      <c r="AJ110" s="42">
        <f t="shared" ref="AJ110" si="644">ROUNDDOWN(C110*AK110,1)</f>
        <v>947.3</v>
      </c>
      <c r="AK110" s="125">
        <f>RCFs!C$25</f>
        <v>18.946666666666665</v>
      </c>
      <c r="AL110" s="42">
        <f t="shared" ref="AL110" si="645">ROUNDDOWN(C110*AM110,1)</f>
        <v>1254.5999999999999</v>
      </c>
      <c r="AM110" s="125">
        <f>RCFs!C$29</f>
        <v>25.09333333333333</v>
      </c>
      <c r="AN110" s="42">
        <f t="shared" ref="AN110" si="646">ROUNDDOWN(C110*AO110,1)</f>
        <v>1006</v>
      </c>
      <c r="AO110" s="125">
        <f>RCFs!C$33</f>
        <v>20.121274</v>
      </c>
      <c r="AP110" s="110">
        <f t="shared" ref="AP110" si="647">ROUNDDOWN(AN110*AP$6,1)</f>
        <v>1509</v>
      </c>
      <c r="AQ110" s="124">
        <f t="shared" ref="AQ110" si="648">ROUNDDOWN($C110*AR110,1)</f>
        <v>1309.5</v>
      </c>
      <c r="AR110" s="125">
        <f>RCFs!C$35</f>
        <v>26.19</v>
      </c>
      <c r="AS110" s="110">
        <f t="shared" ref="AS110" si="649">ROUNDDOWN(AQ110*AS$6,1)</f>
        <v>1702.3</v>
      </c>
      <c r="AT110" s="110">
        <f t="shared" ref="AT110" si="650">ROUNDDOWN(AR110*AT$6,1)</f>
        <v>37.9</v>
      </c>
      <c r="AU110" s="124">
        <f t="shared" ref="AU110" si="651">ROUNDDOWN($C110*AV110,1)</f>
        <v>974.3</v>
      </c>
      <c r="AV110" s="124">
        <f>RCFs!C$37</f>
        <v>19.486666666666668</v>
      </c>
      <c r="AW110" s="124">
        <f t="shared" ref="AW110" si="652">ROUNDDOWN(AX110*C110,1)</f>
        <v>991.3</v>
      </c>
      <c r="AX110" s="125">
        <f>RCFs!C$64</f>
        <v>19.826666666666664</v>
      </c>
      <c r="AY110" s="124">
        <f t="shared" ref="AY110" si="653">ROUNDDOWN($C110*AZ110,1)</f>
        <v>947.3</v>
      </c>
      <c r="AZ110" s="125">
        <f>RCFs!C$39</f>
        <v>18.946666666666665</v>
      </c>
      <c r="BA110" s="124">
        <f t="shared" ref="BA110" si="654">ROUNDDOWN($C110*BB110,1)</f>
        <v>953.4</v>
      </c>
      <c r="BB110" s="125">
        <f>RCFs!C$41</f>
        <v>19.068114999999999</v>
      </c>
    </row>
    <row r="111" spans="1:54" s="67" customFormat="1" x14ac:dyDescent="0.3">
      <c r="A111" s="66">
        <v>5103</v>
      </c>
      <c r="B111" s="68" t="s">
        <v>269</v>
      </c>
      <c r="C111" s="46">
        <v>50</v>
      </c>
      <c r="D111" s="42">
        <f t="shared" ref="D111" si="655">ROUND(E111*C111,1)</f>
        <v>3763.4</v>
      </c>
      <c r="E111" s="123">
        <f>RCFs!C$43</f>
        <v>75.268515088574986</v>
      </c>
      <c r="F111" s="124">
        <f t="shared" ref="F111" si="656">ROUNDDOWN($C111*G111,1)</f>
        <v>928</v>
      </c>
      <c r="G111" s="123">
        <f>RCFs!C$5</f>
        <v>18.559999999999999</v>
      </c>
      <c r="H111" s="124">
        <f t="shared" ref="H111" si="657">ROUNDDOWN($C111*I111,1)</f>
        <v>928</v>
      </c>
      <c r="I111" s="123">
        <f>RCFs!C$5</f>
        <v>18.559999999999999</v>
      </c>
      <c r="J111" s="111">
        <f t="shared" si="632"/>
        <v>1020.8</v>
      </c>
      <c r="K111" s="111">
        <f t="shared" si="632"/>
        <v>1271.4000000000001</v>
      </c>
      <c r="L111" s="111">
        <f t="shared" si="632"/>
        <v>1364.2</v>
      </c>
      <c r="M111" s="111">
        <f t="shared" si="632"/>
        <v>1503.4</v>
      </c>
      <c r="N111" s="111">
        <f t="shared" si="632"/>
        <v>1856</v>
      </c>
      <c r="O111" s="111">
        <f t="shared" si="632"/>
        <v>1995.2</v>
      </c>
      <c r="P111" s="111">
        <f t="shared" si="632"/>
        <v>2784</v>
      </c>
      <c r="Q111" s="42">
        <f t="shared" ref="Q111" si="658">ROUNDDOWN(R111*C111,1)</f>
        <v>965.1</v>
      </c>
      <c r="R111" s="125">
        <f>RCFs!C$7</f>
        <v>19.303333333333335</v>
      </c>
      <c r="S111" s="111">
        <f t="shared" si="633"/>
        <v>1254.5999999999999</v>
      </c>
      <c r="T111" s="111">
        <f t="shared" si="633"/>
        <v>1447.6</v>
      </c>
      <c r="U111" s="42">
        <f t="shared" ref="U111" si="659">ROUND(V111*C111,1)</f>
        <v>921.2</v>
      </c>
      <c r="V111" s="125">
        <f>RCFs!C$9</f>
        <v>18.422999999999998</v>
      </c>
      <c r="W111" s="42">
        <f t="shared" ref="W111" si="660">ROUND(X111*C111,1)</f>
        <v>921.2</v>
      </c>
      <c r="X111" s="125">
        <f t="shared" ref="X111" si="661">V111</f>
        <v>18.422999999999998</v>
      </c>
      <c r="Y111" s="111">
        <f t="shared" si="73"/>
        <v>1013.3</v>
      </c>
      <c r="Z111" s="111">
        <f t="shared" si="634"/>
        <v>1262</v>
      </c>
      <c r="AA111" s="111">
        <f t="shared" si="634"/>
        <v>1492.3</v>
      </c>
      <c r="AB111" s="111">
        <f t="shared" si="634"/>
        <v>1354.1</v>
      </c>
      <c r="AC111" s="111">
        <f t="shared" si="634"/>
        <v>1998.9</v>
      </c>
      <c r="AD111" s="111">
        <f t="shared" si="634"/>
        <v>2763.5</v>
      </c>
      <c r="AE111" s="42">
        <f t="shared" ref="AE111" si="662">ROUND(AF111*C111,1)</f>
        <v>956.7</v>
      </c>
      <c r="AF111" s="125">
        <f>RCFs!C$13</f>
        <v>19.133333333333333</v>
      </c>
      <c r="AG111" s="110">
        <f t="shared" si="635"/>
        <v>1578.6</v>
      </c>
      <c r="AH111" s="110">
        <f t="shared" si="635"/>
        <v>2009.1</v>
      </c>
      <c r="AI111" s="110">
        <f t="shared" si="635"/>
        <v>2870.1</v>
      </c>
      <c r="AJ111" s="42">
        <f t="shared" ref="AJ111" si="663">ROUNDDOWN(C111*AK111,1)</f>
        <v>947.3</v>
      </c>
      <c r="AK111" s="125">
        <f>RCFs!C$25</f>
        <v>18.946666666666665</v>
      </c>
      <c r="AL111" s="42">
        <f t="shared" ref="AL111" si="664">ROUNDDOWN(C111*AM111,1)</f>
        <v>1254.5999999999999</v>
      </c>
      <c r="AM111" s="125">
        <f>RCFs!C$29</f>
        <v>25.09333333333333</v>
      </c>
      <c r="AN111" s="42">
        <f t="shared" ref="AN111" si="665">ROUNDDOWN(C111*AO111,1)</f>
        <v>1006</v>
      </c>
      <c r="AO111" s="125">
        <f>RCFs!C$33</f>
        <v>20.121274</v>
      </c>
      <c r="AP111" s="110">
        <f t="shared" ref="AP111" si="666">ROUNDDOWN(AN111*AP$6,1)</f>
        <v>1509</v>
      </c>
      <c r="AQ111" s="124">
        <f t="shared" ref="AQ111" si="667">ROUNDDOWN($C111*AR111,1)</f>
        <v>1309.5</v>
      </c>
      <c r="AR111" s="125">
        <f>RCFs!C$35</f>
        <v>26.19</v>
      </c>
      <c r="AS111" s="110">
        <f t="shared" ref="AS111" si="668">ROUNDDOWN(AQ111*AS$6,1)</f>
        <v>1702.3</v>
      </c>
      <c r="AT111" s="110">
        <f t="shared" ref="AT111" si="669">ROUNDDOWN(AR111*AT$6,1)</f>
        <v>37.9</v>
      </c>
      <c r="AU111" s="124">
        <f t="shared" ref="AU111" si="670">ROUNDDOWN($C111*AV111,1)</f>
        <v>974.3</v>
      </c>
      <c r="AV111" s="124">
        <f>RCFs!C$37</f>
        <v>19.486666666666668</v>
      </c>
      <c r="AW111" s="124">
        <f t="shared" ref="AW111" si="671">ROUNDDOWN(AX111*C111,1)</f>
        <v>991.3</v>
      </c>
      <c r="AX111" s="125">
        <f>RCFs!C$64</f>
        <v>19.826666666666664</v>
      </c>
      <c r="AY111" s="124">
        <f t="shared" ref="AY111" si="672">ROUNDDOWN($C111*AZ111,1)</f>
        <v>947.3</v>
      </c>
      <c r="AZ111" s="125">
        <f>RCFs!C$39</f>
        <v>18.946666666666665</v>
      </c>
      <c r="BA111" s="124">
        <f t="shared" ref="BA111" si="673">ROUNDDOWN($C111*BB111,1)</f>
        <v>953.4</v>
      </c>
      <c r="BB111" s="125">
        <f>RCFs!C$41</f>
        <v>19.068114999999999</v>
      </c>
    </row>
    <row r="112" spans="1:54" s="67" customFormat="1" ht="27.6" x14ac:dyDescent="0.3">
      <c r="A112" s="69">
        <v>5110</v>
      </c>
      <c r="B112" s="68" t="s">
        <v>199</v>
      </c>
      <c r="C112" s="46">
        <v>128</v>
      </c>
      <c r="D112" s="70">
        <f t="shared" si="121"/>
        <v>9634.4</v>
      </c>
      <c r="E112" s="71">
        <f>RCFs!C$43</f>
        <v>75.268515088574986</v>
      </c>
      <c r="F112" s="124">
        <f t="shared" si="105"/>
        <v>2375.6</v>
      </c>
      <c r="G112" s="123">
        <f>RCFs!C$5</f>
        <v>18.559999999999999</v>
      </c>
      <c r="H112" s="124">
        <f t="shared" si="106"/>
        <v>2375.6</v>
      </c>
      <c r="I112" s="123">
        <f>RCFs!C$5</f>
        <v>18.559999999999999</v>
      </c>
      <c r="J112" s="111">
        <f t="shared" si="632"/>
        <v>2613.1999999999998</v>
      </c>
      <c r="K112" s="111">
        <f t="shared" si="632"/>
        <v>3254.7</v>
      </c>
      <c r="L112" s="111">
        <f t="shared" si="632"/>
        <v>3492.2</v>
      </c>
      <c r="M112" s="111">
        <f t="shared" si="632"/>
        <v>3848.6</v>
      </c>
      <c r="N112" s="111">
        <f t="shared" si="632"/>
        <v>4751.3999999999996</v>
      </c>
      <c r="O112" s="111">
        <f t="shared" si="632"/>
        <v>5107.7</v>
      </c>
      <c r="P112" s="111">
        <f t="shared" si="632"/>
        <v>7127</v>
      </c>
      <c r="Q112" s="42">
        <f t="shared" si="107"/>
        <v>2470.8000000000002</v>
      </c>
      <c r="R112" s="125">
        <f>RCFs!C$7</f>
        <v>19.303333333333335</v>
      </c>
      <c r="S112" s="111">
        <f t="shared" si="633"/>
        <v>3212</v>
      </c>
      <c r="T112" s="111">
        <f t="shared" si="633"/>
        <v>3706.2</v>
      </c>
      <c r="U112" s="42">
        <f t="shared" si="108"/>
        <v>2358.1</v>
      </c>
      <c r="V112" s="125">
        <f>RCFs!C$9</f>
        <v>18.422999999999998</v>
      </c>
      <c r="W112" s="42">
        <f t="shared" si="124"/>
        <v>2358.1</v>
      </c>
      <c r="X112" s="125">
        <f t="shared" si="149"/>
        <v>18.422999999999998</v>
      </c>
      <c r="Y112" s="111">
        <f t="shared" si="73"/>
        <v>2593.9</v>
      </c>
      <c r="Z112" s="111">
        <f t="shared" si="634"/>
        <v>3230.7</v>
      </c>
      <c r="AA112" s="111">
        <f t="shared" si="634"/>
        <v>3820.2</v>
      </c>
      <c r="AB112" s="111">
        <f t="shared" si="634"/>
        <v>3466.5</v>
      </c>
      <c r="AC112" s="111">
        <f t="shared" si="634"/>
        <v>5117.2</v>
      </c>
      <c r="AD112" s="111">
        <f t="shared" si="634"/>
        <v>7074.4</v>
      </c>
      <c r="AE112" s="42">
        <f t="shared" si="126"/>
        <v>2449.1</v>
      </c>
      <c r="AF112" s="125">
        <f>RCFs!C$13</f>
        <v>19.133333333333333</v>
      </c>
      <c r="AG112" s="110">
        <f t="shared" si="635"/>
        <v>4041</v>
      </c>
      <c r="AH112" s="110">
        <f t="shared" si="635"/>
        <v>5143.1000000000004</v>
      </c>
      <c r="AI112" s="110">
        <f t="shared" si="635"/>
        <v>7347.3</v>
      </c>
      <c r="AJ112" s="42">
        <f t="shared" si="111"/>
        <v>2425.1</v>
      </c>
      <c r="AK112" s="125">
        <f>RCFs!C$25</f>
        <v>18.946666666666665</v>
      </c>
      <c r="AL112" s="42">
        <f t="shared" si="631"/>
        <v>3211.9</v>
      </c>
      <c r="AM112" s="125">
        <f>RCFs!C$29</f>
        <v>25.09333333333333</v>
      </c>
      <c r="AN112" s="42">
        <f t="shared" si="113"/>
        <v>2575.5</v>
      </c>
      <c r="AO112" s="125">
        <f>RCFs!C$33</f>
        <v>20.121274</v>
      </c>
      <c r="AP112" s="110">
        <f t="shared" si="114"/>
        <v>3863.2</v>
      </c>
      <c r="AQ112" s="124">
        <f t="shared" si="115"/>
        <v>3352.3</v>
      </c>
      <c r="AR112" s="125">
        <f>RCFs!C$35</f>
        <v>26.19</v>
      </c>
      <c r="AS112" s="110">
        <f t="shared" si="116"/>
        <v>4357.8999999999996</v>
      </c>
      <c r="AT112" s="110">
        <f t="shared" si="117"/>
        <v>37.9</v>
      </c>
      <c r="AU112" s="124">
        <f t="shared" si="118"/>
        <v>2494.1999999999998</v>
      </c>
      <c r="AV112" s="124">
        <f>RCFs!C$37</f>
        <v>19.486666666666668</v>
      </c>
      <c r="AW112" s="124">
        <f t="shared" si="128"/>
        <v>2537.8000000000002</v>
      </c>
      <c r="AX112" s="125">
        <f>RCFs!C$64</f>
        <v>19.826666666666664</v>
      </c>
      <c r="AY112" s="124">
        <f t="shared" si="119"/>
        <v>2425.1</v>
      </c>
      <c r="AZ112" s="125">
        <f>RCFs!C$39</f>
        <v>18.946666666666665</v>
      </c>
      <c r="BA112" s="124">
        <f t="shared" si="120"/>
        <v>2440.6999999999998</v>
      </c>
      <c r="BB112" s="125">
        <f>RCFs!C$41</f>
        <v>19.068114999999999</v>
      </c>
    </row>
    <row r="113" spans="1:54" s="67" customFormat="1" ht="41.4" x14ac:dyDescent="0.3">
      <c r="A113" s="69">
        <v>5111</v>
      </c>
      <c r="B113" s="68" t="s">
        <v>200</v>
      </c>
      <c r="C113" s="46">
        <v>206</v>
      </c>
      <c r="D113" s="70">
        <f t="shared" si="121"/>
        <v>15505.3</v>
      </c>
      <c r="E113" s="71">
        <f>RCFs!C$43</f>
        <v>75.268515088574986</v>
      </c>
      <c r="F113" s="124">
        <f t="shared" si="105"/>
        <v>3823.3</v>
      </c>
      <c r="G113" s="123">
        <f>RCFs!C$5</f>
        <v>18.559999999999999</v>
      </c>
      <c r="H113" s="124">
        <f t="shared" si="106"/>
        <v>3823.3</v>
      </c>
      <c r="I113" s="123">
        <f>RCFs!C$5</f>
        <v>18.559999999999999</v>
      </c>
      <c r="J113" s="111">
        <f t="shared" si="632"/>
        <v>4205.7</v>
      </c>
      <c r="K113" s="111">
        <f t="shared" si="632"/>
        <v>5238</v>
      </c>
      <c r="L113" s="111">
        <f t="shared" si="632"/>
        <v>5620.3</v>
      </c>
      <c r="M113" s="111">
        <f t="shared" si="632"/>
        <v>6193.8</v>
      </c>
      <c r="N113" s="111">
        <f t="shared" si="632"/>
        <v>7646.7</v>
      </c>
      <c r="O113" s="111">
        <f t="shared" si="632"/>
        <v>8220.2000000000007</v>
      </c>
      <c r="P113" s="111">
        <f t="shared" si="632"/>
        <v>11470.1</v>
      </c>
      <c r="Q113" s="42">
        <f t="shared" si="107"/>
        <v>3976.4</v>
      </c>
      <c r="R113" s="125">
        <f>RCFs!C$7</f>
        <v>19.303333333333335</v>
      </c>
      <c r="S113" s="111">
        <f t="shared" si="633"/>
        <v>5169.3</v>
      </c>
      <c r="T113" s="111">
        <f t="shared" si="633"/>
        <v>5964.6</v>
      </c>
      <c r="U113" s="42">
        <f t="shared" si="108"/>
        <v>3795.1</v>
      </c>
      <c r="V113" s="125">
        <f>RCFs!C$9</f>
        <v>18.422999999999998</v>
      </c>
      <c r="W113" s="42">
        <f t="shared" si="124"/>
        <v>3795.1</v>
      </c>
      <c r="X113" s="125">
        <f t="shared" si="149"/>
        <v>18.422999999999998</v>
      </c>
      <c r="Y113" s="111">
        <f t="shared" si="73"/>
        <v>4174.6000000000004</v>
      </c>
      <c r="Z113" s="111">
        <f t="shared" si="634"/>
        <v>5199.3</v>
      </c>
      <c r="AA113" s="111">
        <f t="shared" si="634"/>
        <v>6148.1</v>
      </c>
      <c r="AB113" s="111">
        <f t="shared" si="634"/>
        <v>5578.9</v>
      </c>
      <c r="AC113" s="111">
        <f t="shared" si="634"/>
        <v>8235.4</v>
      </c>
      <c r="AD113" s="111">
        <f t="shared" si="634"/>
        <v>11385.4</v>
      </c>
      <c r="AE113" s="42">
        <f t="shared" si="126"/>
        <v>3941.5</v>
      </c>
      <c r="AF113" s="125">
        <f>RCFs!C$13</f>
        <v>19.133333333333333</v>
      </c>
      <c r="AG113" s="110">
        <f t="shared" si="635"/>
        <v>6503.5</v>
      </c>
      <c r="AH113" s="110">
        <f t="shared" si="635"/>
        <v>8277.2000000000007</v>
      </c>
      <c r="AI113" s="110">
        <f t="shared" si="635"/>
        <v>11824.5</v>
      </c>
      <c r="AJ113" s="42">
        <f t="shared" si="111"/>
        <v>3903</v>
      </c>
      <c r="AK113" s="125">
        <f>RCFs!C$25</f>
        <v>18.946666666666665</v>
      </c>
      <c r="AL113" s="42">
        <f t="shared" si="631"/>
        <v>5169.2</v>
      </c>
      <c r="AM113" s="125">
        <f>RCFs!C$29</f>
        <v>25.09333333333333</v>
      </c>
      <c r="AN113" s="42">
        <f t="shared" si="113"/>
        <v>4144.8999999999996</v>
      </c>
      <c r="AO113" s="125">
        <f>RCFs!C$33</f>
        <v>20.121274</v>
      </c>
      <c r="AP113" s="110">
        <f t="shared" si="114"/>
        <v>6217.3</v>
      </c>
      <c r="AQ113" s="124">
        <f t="shared" si="115"/>
        <v>5395.1</v>
      </c>
      <c r="AR113" s="125">
        <f>RCFs!C$35</f>
        <v>26.19</v>
      </c>
      <c r="AS113" s="110">
        <f t="shared" si="116"/>
        <v>7013.6</v>
      </c>
      <c r="AT113" s="110">
        <f t="shared" si="117"/>
        <v>37.9</v>
      </c>
      <c r="AU113" s="124">
        <f t="shared" si="118"/>
        <v>4014.2</v>
      </c>
      <c r="AV113" s="124">
        <f>RCFs!C$37</f>
        <v>19.486666666666668</v>
      </c>
      <c r="AW113" s="124">
        <f t="shared" si="128"/>
        <v>4084.2</v>
      </c>
      <c r="AX113" s="125">
        <f>RCFs!C$64</f>
        <v>19.826666666666664</v>
      </c>
      <c r="AY113" s="124">
        <f t="shared" si="119"/>
        <v>3903</v>
      </c>
      <c r="AZ113" s="125">
        <f>RCFs!C$39</f>
        <v>18.946666666666665</v>
      </c>
      <c r="BA113" s="124">
        <f t="shared" si="120"/>
        <v>3928</v>
      </c>
      <c r="BB113" s="125">
        <f>RCFs!C$41</f>
        <v>19.068114999999999</v>
      </c>
    </row>
    <row r="114" spans="1:54" s="67" customFormat="1" ht="27.6" x14ac:dyDescent="0.3">
      <c r="A114" s="69">
        <v>5113</v>
      </c>
      <c r="B114" s="68" t="s">
        <v>270</v>
      </c>
      <c r="C114" s="46">
        <v>117</v>
      </c>
      <c r="D114" s="70">
        <f t="shared" ref="D114" si="674">ROUND(E114*C114,1)</f>
        <v>8806.4</v>
      </c>
      <c r="E114" s="71">
        <f>RCFs!C$43</f>
        <v>75.268515088574986</v>
      </c>
      <c r="F114" s="124">
        <f t="shared" ref="F114" si="675">ROUNDDOWN($C114*G114,1)</f>
        <v>2171.5</v>
      </c>
      <c r="G114" s="123">
        <f>RCFs!C$5</f>
        <v>18.559999999999999</v>
      </c>
      <c r="H114" s="124">
        <f t="shared" ref="H114" si="676">ROUNDDOWN($C114*I114,1)</f>
        <v>2171.5</v>
      </c>
      <c r="I114" s="123">
        <f>RCFs!C$5</f>
        <v>18.559999999999999</v>
      </c>
      <c r="J114" s="111">
        <f t="shared" si="632"/>
        <v>2388.6999999999998</v>
      </c>
      <c r="K114" s="111">
        <f t="shared" si="632"/>
        <v>2975</v>
      </c>
      <c r="L114" s="111">
        <f t="shared" si="632"/>
        <v>3192.1</v>
      </c>
      <c r="M114" s="111">
        <f t="shared" si="632"/>
        <v>3517.9</v>
      </c>
      <c r="N114" s="111">
        <f t="shared" si="632"/>
        <v>4343</v>
      </c>
      <c r="O114" s="111">
        <f t="shared" si="632"/>
        <v>4668.8</v>
      </c>
      <c r="P114" s="111">
        <f t="shared" si="632"/>
        <v>6514.6</v>
      </c>
      <c r="Q114" s="42">
        <f t="shared" ref="Q114" si="677">ROUNDDOWN(R114*C114,1)</f>
        <v>2258.4</v>
      </c>
      <c r="R114" s="125">
        <f>RCFs!C$7</f>
        <v>19.303333333333335</v>
      </c>
      <c r="S114" s="111">
        <f t="shared" si="633"/>
        <v>2935.9</v>
      </c>
      <c r="T114" s="111">
        <f t="shared" si="633"/>
        <v>3387.6</v>
      </c>
      <c r="U114" s="42">
        <f t="shared" ref="U114" si="678">ROUND(V114*C114,1)</f>
        <v>2155.5</v>
      </c>
      <c r="V114" s="125">
        <f>RCFs!C$9</f>
        <v>18.422999999999998</v>
      </c>
      <c r="W114" s="42">
        <f t="shared" ref="W114" si="679">ROUND(X114*C114,1)</f>
        <v>2155.5</v>
      </c>
      <c r="X114" s="125">
        <f t="shared" ref="X114" si="680">V114</f>
        <v>18.422999999999998</v>
      </c>
      <c r="Y114" s="111">
        <f t="shared" si="73"/>
        <v>2371</v>
      </c>
      <c r="Z114" s="111">
        <f t="shared" si="634"/>
        <v>2953</v>
      </c>
      <c r="AA114" s="111">
        <f t="shared" si="634"/>
        <v>3491.9</v>
      </c>
      <c r="AB114" s="111">
        <f t="shared" si="634"/>
        <v>3168.6</v>
      </c>
      <c r="AC114" s="111">
        <f t="shared" si="634"/>
        <v>4677.3999999999996</v>
      </c>
      <c r="AD114" s="111">
        <f t="shared" si="634"/>
        <v>6466.5</v>
      </c>
      <c r="AE114" s="42">
        <f t="shared" ref="AE114" si="681">ROUND(AF114*C114,1)</f>
        <v>2238.6</v>
      </c>
      <c r="AF114" s="125">
        <f>RCFs!C$13</f>
        <v>19.133333333333333</v>
      </c>
      <c r="AG114" s="110">
        <f t="shared" si="635"/>
        <v>3693.7</v>
      </c>
      <c r="AH114" s="110">
        <f t="shared" si="635"/>
        <v>4701.1000000000004</v>
      </c>
      <c r="AI114" s="110">
        <f t="shared" si="635"/>
        <v>6715.8</v>
      </c>
      <c r="AJ114" s="42">
        <f t="shared" ref="AJ114" si="682">ROUNDDOWN(C114*AK114,1)</f>
        <v>2216.6999999999998</v>
      </c>
      <c r="AK114" s="125">
        <f>RCFs!C$25</f>
        <v>18.946666666666665</v>
      </c>
      <c r="AL114" s="42">
        <f t="shared" ref="AL114" si="683">ROUNDDOWN(C114*AM114,1)</f>
        <v>2935.9</v>
      </c>
      <c r="AM114" s="125">
        <f>RCFs!C$29</f>
        <v>25.09333333333333</v>
      </c>
      <c r="AN114" s="42">
        <f t="shared" ref="AN114" si="684">ROUNDDOWN(C114*AO114,1)</f>
        <v>2354.1</v>
      </c>
      <c r="AO114" s="125">
        <f>RCFs!C$33</f>
        <v>20.121274</v>
      </c>
      <c r="AP114" s="110">
        <f t="shared" ref="AP114" si="685">ROUNDDOWN(AN114*AP$6,1)</f>
        <v>3531.1</v>
      </c>
      <c r="AQ114" s="124">
        <f t="shared" ref="AQ114" si="686">ROUNDDOWN($C114*AR114,1)</f>
        <v>3064.2</v>
      </c>
      <c r="AR114" s="125">
        <f>RCFs!C$35</f>
        <v>26.19</v>
      </c>
      <c r="AS114" s="110">
        <f t="shared" ref="AS114" si="687">ROUNDDOWN(AQ114*AS$6,1)</f>
        <v>3983.4</v>
      </c>
      <c r="AT114" s="110">
        <f t="shared" ref="AT114" si="688">ROUNDDOWN(AR114*AT$6,1)</f>
        <v>37.9</v>
      </c>
      <c r="AU114" s="124">
        <f t="shared" ref="AU114" si="689">ROUNDDOWN($C114*AV114,1)</f>
        <v>2279.9</v>
      </c>
      <c r="AV114" s="124">
        <f>RCFs!C$37</f>
        <v>19.486666666666668</v>
      </c>
      <c r="AW114" s="124">
        <f t="shared" ref="AW114" si="690">ROUNDDOWN(AX114*C114,1)</f>
        <v>2319.6999999999998</v>
      </c>
      <c r="AX114" s="125">
        <f>RCFs!C$64</f>
        <v>19.826666666666664</v>
      </c>
      <c r="AY114" s="124">
        <f t="shared" ref="AY114" si="691">ROUNDDOWN($C114*AZ114,1)</f>
        <v>2216.6999999999998</v>
      </c>
      <c r="AZ114" s="125">
        <f>RCFs!C$39</f>
        <v>18.946666666666665</v>
      </c>
      <c r="BA114" s="124">
        <f t="shared" ref="BA114" si="692">ROUNDDOWN($C114*BB114,1)</f>
        <v>2230.9</v>
      </c>
      <c r="BB114" s="125">
        <f>RCFs!C$41</f>
        <v>19.068114999999999</v>
      </c>
    </row>
    <row r="115" spans="1:54" s="67" customFormat="1" ht="27.6" x14ac:dyDescent="0.3">
      <c r="A115" s="69">
        <v>5117</v>
      </c>
      <c r="B115" s="68" t="s">
        <v>271</v>
      </c>
      <c r="C115" s="46">
        <v>88</v>
      </c>
      <c r="D115" s="70">
        <f t="shared" ref="D115" si="693">ROUND(E115*C115,1)</f>
        <v>6623.6</v>
      </c>
      <c r="E115" s="71">
        <f>RCFs!C$43</f>
        <v>75.268515088574986</v>
      </c>
      <c r="F115" s="124">
        <f t="shared" ref="F115" si="694">ROUNDDOWN($C115*G115,1)</f>
        <v>1633.2</v>
      </c>
      <c r="G115" s="123">
        <f>RCFs!C$5</f>
        <v>18.559999999999999</v>
      </c>
      <c r="H115" s="124">
        <f t="shared" ref="H115" si="695">ROUNDDOWN($C115*I115,1)</f>
        <v>1633.2</v>
      </c>
      <c r="I115" s="123">
        <f>RCFs!C$5</f>
        <v>18.559999999999999</v>
      </c>
      <c r="J115" s="111">
        <f t="shared" si="632"/>
        <v>1796.6</v>
      </c>
      <c r="K115" s="111">
        <f t="shared" si="632"/>
        <v>2237.6</v>
      </c>
      <c r="L115" s="111">
        <f t="shared" si="632"/>
        <v>2400.9</v>
      </c>
      <c r="M115" s="111">
        <f t="shared" si="632"/>
        <v>2645.9</v>
      </c>
      <c r="N115" s="111">
        <f t="shared" si="632"/>
        <v>3266.6</v>
      </c>
      <c r="O115" s="111">
        <f t="shared" si="632"/>
        <v>3511.6</v>
      </c>
      <c r="P115" s="111">
        <f t="shared" si="632"/>
        <v>4899.8</v>
      </c>
      <c r="Q115" s="42">
        <f t="shared" ref="Q115" si="696">ROUNDDOWN(R115*C115,1)</f>
        <v>1698.6</v>
      </c>
      <c r="R115" s="125">
        <f>RCFs!C$7</f>
        <v>19.303333333333335</v>
      </c>
      <c r="S115" s="111">
        <f t="shared" si="633"/>
        <v>2208.1</v>
      </c>
      <c r="T115" s="111">
        <f t="shared" si="633"/>
        <v>2547.9</v>
      </c>
      <c r="U115" s="42">
        <f t="shared" ref="U115" si="697">ROUND(V115*C115,1)</f>
        <v>1621.2</v>
      </c>
      <c r="V115" s="125">
        <f>RCFs!C$9</f>
        <v>18.422999999999998</v>
      </c>
      <c r="W115" s="42">
        <f t="shared" ref="W115" si="698">ROUND(X115*C115,1)</f>
        <v>1621.2</v>
      </c>
      <c r="X115" s="125">
        <f t="shared" ref="X115" si="699">V115</f>
        <v>18.422999999999998</v>
      </c>
      <c r="Y115" s="111">
        <f t="shared" si="73"/>
        <v>1783.3</v>
      </c>
      <c r="Z115" s="111">
        <f t="shared" si="634"/>
        <v>2221.1</v>
      </c>
      <c r="AA115" s="111">
        <f t="shared" si="634"/>
        <v>2626.4</v>
      </c>
      <c r="AB115" s="111">
        <f t="shared" si="634"/>
        <v>2383.1999999999998</v>
      </c>
      <c r="AC115" s="111">
        <f t="shared" si="634"/>
        <v>3518.1</v>
      </c>
      <c r="AD115" s="111">
        <f t="shared" si="634"/>
        <v>4863.7</v>
      </c>
      <c r="AE115" s="42">
        <f t="shared" ref="AE115" si="700">ROUND(AF115*C115,1)</f>
        <v>1683.7</v>
      </c>
      <c r="AF115" s="125">
        <f>RCFs!C$13</f>
        <v>19.133333333333333</v>
      </c>
      <c r="AG115" s="110">
        <f t="shared" si="635"/>
        <v>2778.1</v>
      </c>
      <c r="AH115" s="110">
        <f t="shared" si="635"/>
        <v>3535.8</v>
      </c>
      <c r="AI115" s="110">
        <f t="shared" si="635"/>
        <v>5051.1000000000004</v>
      </c>
      <c r="AJ115" s="42">
        <f t="shared" ref="AJ115" si="701">ROUNDDOWN(C115*AK115,1)</f>
        <v>1667.3</v>
      </c>
      <c r="AK115" s="125">
        <f>RCFs!C$25</f>
        <v>18.946666666666665</v>
      </c>
      <c r="AL115" s="42">
        <f t="shared" ref="AL115" si="702">ROUNDDOWN(C115*AM115,1)</f>
        <v>2208.1999999999998</v>
      </c>
      <c r="AM115" s="125">
        <f>RCFs!C$29</f>
        <v>25.09333333333333</v>
      </c>
      <c r="AN115" s="42">
        <f t="shared" ref="AN115" si="703">ROUNDDOWN(C115*AO115,1)</f>
        <v>1770.6</v>
      </c>
      <c r="AO115" s="125">
        <f>RCFs!C$33</f>
        <v>20.121274</v>
      </c>
      <c r="AP115" s="110">
        <f t="shared" ref="AP115" si="704">ROUNDDOWN(AN115*AP$6,1)</f>
        <v>2655.9</v>
      </c>
      <c r="AQ115" s="124">
        <f t="shared" ref="AQ115" si="705">ROUNDDOWN($C115*AR115,1)</f>
        <v>2304.6999999999998</v>
      </c>
      <c r="AR115" s="125">
        <f>RCFs!C$35</f>
        <v>26.19</v>
      </c>
      <c r="AS115" s="110">
        <f t="shared" ref="AS115" si="706">ROUNDDOWN(AQ115*AS$6,1)</f>
        <v>2996.1</v>
      </c>
      <c r="AT115" s="110">
        <f t="shared" ref="AT115" si="707">ROUNDDOWN(AR115*AT$6,1)</f>
        <v>37.9</v>
      </c>
      <c r="AU115" s="124">
        <f t="shared" ref="AU115" si="708">ROUNDDOWN($C115*AV115,1)</f>
        <v>1714.8</v>
      </c>
      <c r="AV115" s="124">
        <f>RCFs!C$37</f>
        <v>19.486666666666668</v>
      </c>
      <c r="AW115" s="124">
        <f t="shared" ref="AW115" si="709">ROUNDDOWN(AX115*C115,1)</f>
        <v>1744.7</v>
      </c>
      <c r="AX115" s="125">
        <f>RCFs!C$64</f>
        <v>19.826666666666664</v>
      </c>
      <c r="AY115" s="124">
        <f t="shared" ref="AY115" si="710">ROUNDDOWN($C115*AZ115,1)</f>
        <v>1667.3</v>
      </c>
      <c r="AZ115" s="125">
        <f>RCFs!C$39</f>
        <v>18.946666666666665</v>
      </c>
      <c r="BA115" s="124">
        <f t="shared" ref="BA115" si="711">ROUNDDOWN($C115*BB115,1)</f>
        <v>1677.9</v>
      </c>
      <c r="BB115" s="125">
        <f>RCFs!C$41</f>
        <v>19.068114999999999</v>
      </c>
    </row>
    <row r="116" spans="1:54" s="67" customFormat="1" ht="41.4" x14ac:dyDescent="0.3">
      <c r="A116" s="66">
        <v>5783</v>
      </c>
      <c r="B116" s="68" t="s">
        <v>201</v>
      </c>
      <c r="C116" s="46">
        <v>42.65</v>
      </c>
      <c r="D116" s="42">
        <f t="shared" si="121"/>
        <v>3210.2</v>
      </c>
      <c r="E116" s="123">
        <f>RCFs!C$43</f>
        <v>75.268515088574986</v>
      </c>
      <c r="F116" s="124">
        <f t="shared" si="105"/>
        <v>791.5</v>
      </c>
      <c r="G116" s="123">
        <f>RCFs!C$5</f>
        <v>18.559999999999999</v>
      </c>
      <c r="H116" s="124">
        <f t="shared" si="106"/>
        <v>791.5</v>
      </c>
      <c r="I116" s="123">
        <f>RCFs!C$5</f>
        <v>18.559999999999999</v>
      </c>
      <c r="J116" s="111">
        <f t="shared" si="632"/>
        <v>870.7</v>
      </c>
      <c r="K116" s="111">
        <f t="shared" si="632"/>
        <v>1084.5</v>
      </c>
      <c r="L116" s="111">
        <f t="shared" si="632"/>
        <v>1163.5999999999999</v>
      </c>
      <c r="M116" s="111">
        <f t="shared" si="632"/>
        <v>1282.4000000000001</v>
      </c>
      <c r="N116" s="111">
        <f t="shared" si="632"/>
        <v>1583.2</v>
      </c>
      <c r="O116" s="111">
        <f t="shared" si="632"/>
        <v>1701.9</v>
      </c>
      <c r="P116" s="111">
        <f t="shared" si="632"/>
        <v>2374.8000000000002</v>
      </c>
      <c r="Q116" s="42">
        <f t="shared" si="107"/>
        <v>823.2</v>
      </c>
      <c r="R116" s="125">
        <f>RCFs!C$7</f>
        <v>19.303333333333335</v>
      </c>
      <c r="S116" s="111">
        <f t="shared" si="633"/>
        <v>1070.0999999999999</v>
      </c>
      <c r="T116" s="111">
        <f t="shared" si="633"/>
        <v>1234.8</v>
      </c>
      <c r="U116" s="42">
        <f t="shared" si="108"/>
        <v>785.7</v>
      </c>
      <c r="V116" s="125">
        <f>RCFs!C$9</f>
        <v>18.422999999999998</v>
      </c>
      <c r="W116" s="42">
        <f t="shared" si="124"/>
        <v>785.7</v>
      </c>
      <c r="X116" s="125">
        <f t="shared" si="149"/>
        <v>18.422999999999998</v>
      </c>
      <c r="Y116" s="111">
        <f t="shared" si="73"/>
        <v>864.2</v>
      </c>
      <c r="Z116" s="111">
        <f t="shared" si="634"/>
        <v>1076.5</v>
      </c>
      <c r="AA116" s="111">
        <f t="shared" si="634"/>
        <v>1272.9000000000001</v>
      </c>
      <c r="AB116" s="111">
        <f t="shared" si="634"/>
        <v>1155</v>
      </c>
      <c r="AC116" s="111">
        <f t="shared" si="634"/>
        <v>1705.1</v>
      </c>
      <c r="AD116" s="111">
        <f t="shared" si="634"/>
        <v>2357.1999999999998</v>
      </c>
      <c r="AE116" s="42">
        <f t="shared" si="126"/>
        <v>816</v>
      </c>
      <c r="AF116" s="125">
        <f>RCFs!C$13</f>
        <v>19.133333333333333</v>
      </c>
      <c r="AG116" s="110">
        <f t="shared" si="635"/>
        <v>1346.4</v>
      </c>
      <c r="AH116" s="110">
        <f t="shared" si="635"/>
        <v>1713.6</v>
      </c>
      <c r="AI116" s="110">
        <f t="shared" si="635"/>
        <v>2448</v>
      </c>
      <c r="AJ116" s="42">
        <f t="shared" si="111"/>
        <v>808</v>
      </c>
      <c r="AK116" s="125">
        <f>RCFs!C$25</f>
        <v>18.946666666666665</v>
      </c>
      <c r="AL116" s="42">
        <f t="shared" si="631"/>
        <v>1070.2</v>
      </c>
      <c r="AM116" s="125">
        <f>RCFs!C$29</f>
        <v>25.09333333333333</v>
      </c>
      <c r="AN116" s="42">
        <f t="shared" si="113"/>
        <v>858.1</v>
      </c>
      <c r="AO116" s="125">
        <f>RCFs!C$33</f>
        <v>20.121274</v>
      </c>
      <c r="AP116" s="110">
        <f t="shared" si="114"/>
        <v>1287.0999999999999</v>
      </c>
      <c r="AQ116" s="124">
        <f t="shared" si="115"/>
        <v>1117</v>
      </c>
      <c r="AR116" s="125">
        <f>RCFs!C$35</f>
        <v>26.19</v>
      </c>
      <c r="AS116" s="110">
        <f t="shared" si="116"/>
        <v>1452.1</v>
      </c>
      <c r="AT116" s="110">
        <f t="shared" si="117"/>
        <v>37.9</v>
      </c>
      <c r="AU116" s="124">
        <f t="shared" si="118"/>
        <v>831.1</v>
      </c>
      <c r="AV116" s="124">
        <f>RCFs!C$37</f>
        <v>19.486666666666668</v>
      </c>
      <c r="AW116" s="124">
        <f t="shared" si="128"/>
        <v>845.6</v>
      </c>
      <c r="AX116" s="125">
        <f>RCFs!C$64</f>
        <v>19.826666666666664</v>
      </c>
      <c r="AY116" s="124">
        <f t="shared" si="119"/>
        <v>808</v>
      </c>
      <c r="AZ116" s="125">
        <f>RCFs!C$39</f>
        <v>18.946666666666665</v>
      </c>
      <c r="BA116" s="124">
        <f t="shared" si="120"/>
        <v>813.2</v>
      </c>
      <c r="BB116" s="125">
        <f>RCFs!C$41</f>
        <v>19.068114999999999</v>
      </c>
    </row>
    <row r="117" spans="1:54" s="67" customFormat="1" ht="96.6" x14ac:dyDescent="0.3">
      <c r="A117" s="66">
        <v>5790</v>
      </c>
      <c r="B117" s="68" t="s">
        <v>202</v>
      </c>
      <c r="C117" s="46">
        <v>42.95</v>
      </c>
      <c r="D117" s="42">
        <f t="shared" si="121"/>
        <v>3232.8</v>
      </c>
      <c r="E117" s="123">
        <f>RCFs!C$43</f>
        <v>75.268515088574986</v>
      </c>
      <c r="F117" s="124">
        <f t="shared" si="105"/>
        <v>797.1</v>
      </c>
      <c r="G117" s="123">
        <f>RCFs!C$5</f>
        <v>18.559999999999999</v>
      </c>
      <c r="H117" s="124">
        <f t="shared" si="106"/>
        <v>797.1</v>
      </c>
      <c r="I117" s="123">
        <f>RCFs!C$5</f>
        <v>18.559999999999999</v>
      </c>
      <c r="J117" s="111">
        <f t="shared" si="632"/>
        <v>876.9</v>
      </c>
      <c r="K117" s="111">
        <f t="shared" si="632"/>
        <v>1092.0999999999999</v>
      </c>
      <c r="L117" s="111">
        <f t="shared" si="632"/>
        <v>1171.8</v>
      </c>
      <c r="M117" s="111">
        <f t="shared" si="632"/>
        <v>1291.4000000000001</v>
      </c>
      <c r="N117" s="111">
        <f t="shared" si="632"/>
        <v>1594.3</v>
      </c>
      <c r="O117" s="111">
        <f t="shared" si="632"/>
        <v>1713.9</v>
      </c>
      <c r="P117" s="111">
        <f t="shared" si="632"/>
        <v>2391.5</v>
      </c>
      <c r="Q117" s="42">
        <f t="shared" si="107"/>
        <v>829</v>
      </c>
      <c r="R117" s="125">
        <f>RCFs!C$7</f>
        <v>19.303333333333335</v>
      </c>
      <c r="S117" s="111">
        <f t="shared" si="633"/>
        <v>1077.7</v>
      </c>
      <c r="T117" s="111">
        <f t="shared" si="633"/>
        <v>1243.5</v>
      </c>
      <c r="U117" s="42">
        <f t="shared" si="108"/>
        <v>791.3</v>
      </c>
      <c r="V117" s="125">
        <f>RCFs!C$9</f>
        <v>18.422999999999998</v>
      </c>
      <c r="W117" s="42">
        <f t="shared" si="124"/>
        <v>791.3</v>
      </c>
      <c r="X117" s="125">
        <f t="shared" si="149"/>
        <v>18.422999999999998</v>
      </c>
      <c r="Y117" s="111">
        <f t="shared" si="73"/>
        <v>870.4</v>
      </c>
      <c r="Z117" s="111">
        <f t="shared" si="634"/>
        <v>1084</v>
      </c>
      <c r="AA117" s="111">
        <f t="shared" si="634"/>
        <v>1281.9000000000001</v>
      </c>
      <c r="AB117" s="111">
        <f t="shared" si="634"/>
        <v>1163.2</v>
      </c>
      <c r="AC117" s="111">
        <f t="shared" si="634"/>
        <v>1717.1</v>
      </c>
      <c r="AD117" s="111">
        <f t="shared" si="634"/>
        <v>2373.8000000000002</v>
      </c>
      <c r="AE117" s="42">
        <f t="shared" si="126"/>
        <v>821.8</v>
      </c>
      <c r="AF117" s="125">
        <f>RCFs!C$13</f>
        <v>19.133333333333333</v>
      </c>
      <c r="AG117" s="110">
        <f t="shared" si="635"/>
        <v>1356</v>
      </c>
      <c r="AH117" s="110">
        <f t="shared" si="635"/>
        <v>1725.8</v>
      </c>
      <c r="AI117" s="110">
        <f t="shared" si="635"/>
        <v>2465.4</v>
      </c>
      <c r="AJ117" s="42">
        <f t="shared" si="111"/>
        <v>813.7</v>
      </c>
      <c r="AK117" s="125">
        <f>RCFs!C$25</f>
        <v>18.946666666666665</v>
      </c>
      <c r="AL117" s="42">
        <f t="shared" si="631"/>
        <v>1077.7</v>
      </c>
      <c r="AM117" s="125">
        <f>RCFs!C$29</f>
        <v>25.09333333333333</v>
      </c>
      <c r="AN117" s="42">
        <f t="shared" si="113"/>
        <v>864.2</v>
      </c>
      <c r="AO117" s="125">
        <f>RCFs!C$33</f>
        <v>20.121274</v>
      </c>
      <c r="AP117" s="110">
        <f t="shared" si="114"/>
        <v>1296.3</v>
      </c>
      <c r="AQ117" s="124">
        <f t="shared" si="115"/>
        <v>1124.8</v>
      </c>
      <c r="AR117" s="125">
        <f>RCFs!C$35</f>
        <v>26.19</v>
      </c>
      <c r="AS117" s="110">
        <f t="shared" si="116"/>
        <v>1462.2</v>
      </c>
      <c r="AT117" s="110">
        <f t="shared" si="117"/>
        <v>37.9</v>
      </c>
      <c r="AU117" s="124">
        <f t="shared" si="118"/>
        <v>836.9</v>
      </c>
      <c r="AV117" s="124">
        <f>RCFs!C$37</f>
        <v>19.486666666666668</v>
      </c>
      <c r="AW117" s="124">
        <f t="shared" si="128"/>
        <v>851.5</v>
      </c>
      <c r="AX117" s="125">
        <f>RCFs!C$64</f>
        <v>19.826666666666664</v>
      </c>
      <c r="AY117" s="124">
        <f t="shared" si="119"/>
        <v>813.7</v>
      </c>
      <c r="AZ117" s="125">
        <f>RCFs!C$39</f>
        <v>18.946666666666665</v>
      </c>
      <c r="BA117" s="124">
        <f t="shared" si="120"/>
        <v>818.9</v>
      </c>
      <c r="BB117" s="125">
        <f>RCFs!C$41</f>
        <v>19.068114999999999</v>
      </c>
    </row>
    <row r="118" spans="1:54" s="67" customFormat="1" x14ac:dyDescent="0.3">
      <c r="A118" s="66">
        <v>5791</v>
      </c>
      <c r="B118" s="68" t="s">
        <v>272</v>
      </c>
      <c r="C118" s="46">
        <v>24.49</v>
      </c>
      <c r="D118" s="42">
        <f t="shared" ref="D118" si="712">ROUND(E118*C118,1)</f>
        <v>1843.3</v>
      </c>
      <c r="E118" s="123">
        <f>RCFs!C$43</f>
        <v>75.268515088574986</v>
      </c>
      <c r="F118" s="124">
        <f t="shared" ref="F118" si="713">ROUNDDOWN($C118*G118,1)</f>
        <v>454.5</v>
      </c>
      <c r="G118" s="123">
        <f>RCFs!C$5</f>
        <v>18.559999999999999</v>
      </c>
      <c r="H118" s="124">
        <f t="shared" ref="H118" si="714">ROUNDDOWN($C118*I118,1)</f>
        <v>454.5</v>
      </c>
      <c r="I118" s="123">
        <f>RCFs!C$5</f>
        <v>18.559999999999999</v>
      </c>
      <c r="J118" s="111">
        <f t="shared" si="632"/>
        <v>500</v>
      </c>
      <c r="K118" s="111">
        <f t="shared" si="632"/>
        <v>622.70000000000005</v>
      </c>
      <c r="L118" s="111">
        <f t="shared" si="632"/>
        <v>668.2</v>
      </c>
      <c r="M118" s="111">
        <f t="shared" si="632"/>
        <v>736.3</v>
      </c>
      <c r="N118" s="111">
        <f t="shared" si="632"/>
        <v>909.1</v>
      </c>
      <c r="O118" s="111">
        <f t="shared" si="632"/>
        <v>977.2</v>
      </c>
      <c r="P118" s="111">
        <f t="shared" si="632"/>
        <v>1363.6</v>
      </c>
      <c r="Q118" s="42">
        <f t="shared" ref="Q118" si="715">ROUNDDOWN(R118*C118,1)</f>
        <v>472.7</v>
      </c>
      <c r="R118" s="125">
        <f>RCFs!C$7</f>
        <v>19.303333333333335</v>
      </c>
      <c r="S118" s="111">
        <f t="shared" si="633"/>
        <v>614.5</v>
      </c>
      <c r="T118" s="111">
        <f t="shared" si="633"/>
        <v>709</v>
      </c>
      <c r="U118" s="42">
        <f t="shared" ref="U118" si="716">ROUND(V118*C118,1)</f>
        <v>451.2</v>
      </c>
      <c r="V118" s="125">
        <f>RCFs!C$9</f>
        <v>18.422999999999998</v>
      </c>
      <c r="W118" s="42">
        <f t="shared" ref="W118" si="717">ROUND(X118*C118,1)</f>
        <v>451.2</v>
      </c>
      <c r="X118" s="125">
        <f t="shared" ref="X118" si="718">V118</f>
        <v>18.422999999999998</v>
      </c>
      <c r="Y118" s="111">
        <f t="shared" si="73"/>
        <v>496.3</v>
      </c>
      <c r="Z118" s="111">
        <f t="shared" si="634"/>
        <v>618.1</v>
      </c>
      <c r="AA118" s="111">
        <f t="shared" si="634"/>
        <v>730.9</v>
      </c>
      <c r="AB118" s="111">
        <f t="shared" si="634"/>
        <v>663.2</v>
      </c>
      <c r="AC118" s="111">
        <f t="shared" si="634"/>
        <v>979.1</v>
      </c>
      <c r="AD118" s="111">
        <f t="shared" si="634"/>
        <v>1353.5</v>
      </c>
      <c r="AE118" s="42">
        <f t="shared" ref="AE118" si="719">ROUND(AF118*C118,1)</f>
        <v>468.6</v>
      </c>
      <c r="AF118" s="125">
        <f>RCFs!C$13</f>
        <v>19.133333333333333</v>
      </c>
      <c r="AG118" s="110">
        <f t="shared" si="635"/>
        <v>773.2</v>
      </c>
      <c r="AH118" s="110">
        <f t="shared" si="635"/>
        <v>984.1</v>
      </c>
      <c r="AI118" s="110">
        <f t="shared" si="635"/>
        <v>1405.8</v>
      </c>
      <c r="AJ118" s="42">
        <f t="shared" ref="AJ118" si="720">ROUNDDOWN(C118*AK118,1)</f>
        <v>464</v>
      </c>
      <c r="AK118" s="125">
        <f>RCFs!C$25</f>
        <v>18.946666666666665</v>
      </c>
      <c r="AL118" s="42">
        <f t="shared" ref="AL118" si="721">ROUNDDOWN(C118*AM118,1)</f>
        <v>614.5</v>
      </c>
      <c r="AM118" s="125">
        <f>RCFs!C$29</f>
        <v>25.09333333333333</v>
      </c>
      <c r="AN118" s="42">
        <f t="shared" ref="AN118" si="722">ROUNDDOWN(C118*AO118,1)</f>
        <v>492.7</v>
      </c>
      <c r="AO118" s="125">
        <f>RCFs!C$33</f>
        <v>20.121274</v>
      </c>
      <c r="AP118" s="110">
        <f t="shared" ref="AP118" si="723">ROUNDDOWN(AN118*AP$6,1)</f>
        <v>739</v>
      </c>
      <c r="AQ118" s="124">
        <f t="shared" ref="AQ118" si="724">ROUNDDOWN($C118*AR118,1)</f>
        <v>641.29999999999995</v>
      </c>
      <c r="AR118" s="125">
        <f>RCFs!C$35</f>
        <v>26.19</v>
      </c>
      <c r="AS118" s="110">
        <f t="shared" ref="AS118" si="725">ROUNDDOWN(AQ118*AS$6,1)</f>
        <v>833.6</v>
      </c>
      <c r="AT118" s="110">
        <f t="shared" ref="AT118" si="726">ROUNDDOWN(AR118*AT$6,1)</f>
        <v>37.9</v>
      </c>
      <c r="AU118" s="124">
        <f t="shared" ref="AU118" si="727">ROUNDDOWN($C118*AV118,1)</f>
        <v>477.2</v>
      </c>
      <c r="AV118" s="124">
        <f>RCFs!C$37</f>
        <v>19.486666666666668</v>
      </c>
      <c r="AW118" s="124">
        <f t="shared" ref="AW118" si="728">ROUNDDOWN(AX118*C118,1)</f>
        <v>485.5</v>
      </c>
      <c r="AX118" s="125">
        <f>RCFs!C$64</f>
        <v>19.826666666666664</v>
      </c>
      <c r="AY118" s="124">
        <f t="shared" ref="AY118" si="729">ROUNDDOWN($C118*AZ118,1)</f>
        <v>464</v>
      </c>
      <c r="AZ118" s="125">
        <f>RCFs!C$39</f>
        <v>18.946666666666665</v>
      </c>
      <c r="BA118" s="124">
        <f t="shared" ref="BA118" si="730">ROUNDDOWN($C118*BB118,1)</f>
        <v>466.9</v>
      </c>
      <c r="BB118" s="125">
        <f>RCFs!C$41</f>
        <v>19.068114999999999</v>
      </c>
    </row>
    <row r="119" spans="1:54" s="67" customFormat="1" ht="69" x14ac:dyDescent="0.3">
      <c r="A119" s="66">
        <v>5793</v>
      </c>
      <c r="B119" s="68" t="s">
        <v>203</v>
      </c>
      <c r="C119" s="46">
        <v>159.47</v>
      </c>
      <c r="D119" s="42">
        <f t="shared" si="121"/>
        <v>12003.1</v>
      </c>
      <c r="E119" s="123">
        <f>RCFs!C$43</f>
        <v>75.268515088574986</v>
      </c>
      <c r="F119" s="124">
        <f t="shared" si="105"/>
        <v>2959.7</v>
      </c>
      <c r="G119" s="123">
        <f>RCFs!C$5</f>
        <v>18.559999999999999</v>
      </c>
      <c r="H119" s="124">
        <f t="shared" si="106"/>
        <v>2959.7</v>
      </c>
      <c r="I119" s="123">
        <f>RCFs!C$5</f>
        <v>18.559999999999999</v>
      </c>
      <c r="J119" s="111">
        <f t="shared" si="632"/>
        <v>3255.7</v>
      </c>
      <c r="K119" s="111">
        <f t="shared" si="632"/>
        <v>4054.9</v>
      </c>
      <c r="L119" s="111">
        <f t="shared" si="632"/>
        <v>4350.8999999999996</v>
      </c>
      <c r="M119" s="111">
        <f t="shared" si="632"/>
        <v>4794.8</v>
      </c>
      <c r="N119" s="111">
        <f t="shared" si="632"/>
        <v>5919.5</v>
      </c>
      <c r="O119" s="111">
        <f t="shared" si="632"/>
        <v>6363.5</v>
      </c>
      <c r="P119" s="111">
        <f t="shared" si="632"/>
        <v>8879.2999999999993</v>
      </c>
      <c r="Q119" s="42">
        <f t="shared" si="107"/>
        <v>3078.3</v>
      </c>
      <c r="R119" s="125">
        <f>RCFs!C$7</f>
        <v>19.303333333333335</v>
      </c>
      <c r="S119" s="111">
        <f t="shared" si="633"/>
        <v>4001.7</v>
      </c>
      <c r="T119" s="111">
        <f t="shared" si="633"/>
        <v>4617.3999999999996</v>
      </c>
      <c r="U119" s="42">
        <f t="shared" si="108"/>
        <v>2937.9</v>
      </c>
      <c r="V119" s="125">
        <f>RCFs!C$9</f>
        <v>18.422999999999998</v>
      </c>
      <c r="W119" s="42">
        <f t="shared" si="124"/>
        <v>2937.9</v>
      </c>
      <c r="X119" s="125">
        <f t="shared" si="149"/>
        <v>18.422999999999998</v>
      </c>
      <c r="Y119" s="111">
        <f t="shared" si="73"/>
        <v>3231.6</v>
      </c>
      <c r="Z119" s="111">
        <f t="shared" si="634"/>
        <v>4024.9</v>
      </c>
      <c r="AA119" s="111">
        <f t="shared" si="634"/>
        <v>4759.3999999999996</v>
      </c>
      <c r="AB119" s="111">
        <f t="shared" si="634"/>
        <v>4318.7</v>
      </c>
      <c r="AC119" s="111">
        <f t="shared" si="634"/>
        <v>6375.3</v>
      </c>
      <c r="AD119" s="111">
        <f t="shared" si="634"/>
        <v>8813.7000000000007</v>
      </c>
      <c r="AE119" s="42">
        <f t="shared" si="126"/>
        <v>3051.2</v>
      </c>
      <c r="AF119" s="125">
        <f>RCFs!C$13</f>
        <v>19.133333333333333</v>
      </c>
      <c r="AG119" s="110">
        <f t="shared" si="635"/>
        <v>5034.5</v>
      </c>
      <c r="AH119" s="110">
        <f t="shared" si="635"/>
        <v>6407.5</v>
      </c>
      <c r="AI119" s="110">
        <f t="shared" si="635"/>
        <v>9153.6</v>
      </c>
      <c r="AJ119" s="42">
        <f t="shared" si="111"/>
        <v>3021.4</v>
      </c>
      <c r="AK119" s="125">
        <f>RCFs!C$25</f>
        <v>18.946666666666665</v>
      </c>
      <c r="AL119" s="42">
        <f t="shared" si="631"/>
        <v>4001.6</v>
      </c>
      <c r="AM119" s="125">
        <f>RCFs!C$29</f>
        <v>25.09333333333333</v>
      </c>
      <c r="AN119" s="42">
        <f t="shared" si="113"/>
        <v>3208.7</v>
      </c>
      <c r="AO119" s="125">
        <f>RCFs!C$33</f>
        <v>20.121274</v>
      </c>
      <c r="AP119" s="110">
        <f t="shared" si="114"/>
        <v>4813</v>
      </c>
      <c r="AQ119" s="124">
        <f t="shared" si="115"/>
        <v>4176.5</v>
      </c>
      <c r="AR119" s="125">
        <f>RCFs!C$35</f>
        <v>26.19</v>
      </c>
      <c r="AS119" s="110">
        <f t="shared" si="116"/>
        <v>5429.4</v>
      </c>
      <c r="AT119" s="110">
        <f t="shared" si="117"/>
        <v>37.9</v>
      </c>
      <c r="AU119" s="124">
        <f t="shared" si="118"/>
        <v>3107.5</v>
      </c>
      <c r="AV119" s="124">
        <f>RCFs!C$37</f>
        <v>19.486666666666668</v>
      </c>
      <c r="AW119" s="124">
        <f t="shared" si="128"/>
        <v>3161.7</v>
      </c>
      <c r="AX119" s="125">
        <f>RCFs!C$64</f>
        <v>19.826666666666664</v>
      </c>
      <c r="AY119" s="124">
        <f t="shared" si="119"/>
        <v>3021.4</v>
      </c>
      <c r="AZ119" s="125">
        <f>RCFs!C$39</f>
        <v>18.946666666666665</v>
      </c>
      <c r="BA119" s="124">
        <f t="shared" si="120"/>
        <v>3040.7</v>
      </c>
      <c r="BB119" s="125">
        <f>RCFs!C$41</f>
        <v>19.068114999999999</v>
      </c>
    </row>
    <row r="120" spans="1:54" s="67" customFormat="1" ht="124.2" x14ac:dyDescent="0.3">
      <c r="A120" s="66">
        <v>5794</v>
      </c>
      <c r="B120" s="68" t="s">
        <v>204</v>
      </c>
      <c r="C120" s="46">
        <v>90.03</v>
      </c>
      <c r="D120" s="42">
        <f t="shared" si="121"/>
        <v>6776.4</v>
      </c>
      <c r="E120" s="123">
        <f>RCFs!C$43</f>
        <v>75.268515088574986</v>
      </c>
      <c r="F120" s="124">
        <f t="shared" si="105"/>
        <v>1670.9</v>
      </c>
      <c r="G120" s="123">
        <f>RCFs!C$5</f>
        <v>18.559999999999999</v>
      </c>
      <c r="H120" s="124">
        <f t="shared" si="106"/>
        <v>1670.9</v>
      </c>
      <c r="I120" s="123">
        <f>RCFs!C$5</f>
        <v>18.559999999999999</v>
      </c>
      <c r="J120" s="111">
        <f t="shared" si="632"/>
        <v>1838.1</v>
      </c>
      <c r="K120" s="111">
        <f t="shared" si="632"/>
        <v>2289.1999999999998</v>
      </c>
      <c r="L120" s="111">
        <f t="shared" si="632"/>
        <v>2456.3000000000002</v>
      </c>
      <c r="M120" s="111">
        <f t="shared" si="632"/>
        <v>2707</v>
      </c>
      <c r="N120" s="111">
        <f t="shared" si="632"/>
        <v>3341.9</v>
      </c>
      <c r="O120" s="111">
        <f t="shared" si="632"/>
        <v>3592.6</v>
      </c>
      <c r="P120" s="111">
        <f t="shared" si="632"/>
        <v>5012.8999999999996</v>
      </c>
      <c r="Q120" s="42">
        <f t="shared" si="107"/>
        <v>1737.8</v>
      </c>
      <c r="R120" s="125">
        <f>RCFs!C$7</f>
        <v>19.303333333333335</v>
      </c>
      <c r="S120" s="111">
        <f t="shared" si="633"/>
        <v>2259.1</v>
      </c>
      <c r="T120" s="111">
        <f t="shared" si="633"/>
        <v>2606.6999999999998</v>
      </c>
      <c r="U120" s="42">
        <f t="shared" si="108"/>
        <v>1658.6</v>
      </c>
      <c r="V120" s="125">
        <f>RCFs!C$9</f>
        <v>18.422999999999998</v>
      </c>
      <c r="W120" s="42">
        <f t="shared" si="124"/>
        <v>1658.6</v>
      </c>
      <c r="X120" s="125">
        <f t="shared" si="149"/>
        <v>18.422999999999998</v>
      </c>
      <c r="Y120" s="111">
        <f t="shared" si="73"/>
        <v>1824.4</v>
      </c>
      <c r="Z120" s="111">
        <f t="shared" si="634"/>
        <v>2272.3000000000002</v>
      </c>
      <c r="AA120" s="111">
        <f t="shared" si="634"/>
        <v>2687</v>
      </c>
      <c r="AB120" s="111">
        <f t="shared" si="634"/>
        <v>2438.1999999999998</v>
      </c>
      <c r="AC120" s="111">
        <f t="shared" si="634"/>
        <v>3599.2</v>
      </c>
      <c r="AD120" s="111">
        <f t="shared" si="634"/>
        <v>4975.8999999999996</v>
      </c>
      <c r="AE120" s="42">
        <f t="shared" si="126"/>
        <v>1722.6</v>
      </c>
      <c r="AF120" s="125">
        <f>RCFs!C$13</f>
        <v>19.133333333333333</v>
      </c>
      <c r="AG120" s="110">
        <f t="shared" si="635"/>
        <v>2842.3</v>
      </c>
      <c r="AH120" s="110">
        <f t="shared" si="635"/>
        <v>3617.5</v>
      </c>
      <c r="AI120" s="110">
        <f t="shared" si="635"/>
        <v>5167.8</v>
      </c>
      <c r="AJ120" s="42">
        <f t="shared" si="111"/>
        <v>1705.7</v>
      </c>
      <c r="AK120" s="125">
        <f>RCFs!C$25</f>
        <v>18.946666666666665</v>
      </c>
      <c r="AL120" s="42">
        <f t="shared" si="631"/>
        <v>2259.1</v>
      </c>
      <c r="AM120" s="125">
        <f>RCFs!C$29</f>
        <v>25.09333333333333</v>
      </c>
      <c r="AN120" s="42">
        <f t="shared" si="113"/>
        <v>1811.5</v>
      </c>
      <c r="AO120" s="125">
        <f>RCFs!C$33</f>
        <v>20.121274</v>
      </c>
      <c r="AP120" s="110">
        <f t="shared" si="114"/>
        <v>2717.2</v>
      </c>
      <c r="AQ120" s="124">
        <f t="shared" si="115"/>
        <v>2357.8000000000002</v>
      </c>
      <c r="AR120" s="125">
        <f>RCFs!C$35</f>
        <v>26.19</v>
      </c>
      <c r="AS120" s="110">
        <f t="shared" si="116"/>
        <v>3065.1</v>
      </c>
      <c r="AT120" s="110">
        <f t="shared" si="117"/>
        <v>37.9</v>
      </c>
      <c r="AU120" s="124">
        <f t="shared" si="118"/>
        <v>1754.3</v>
      </c>
      <c r="AV120" s="124">
        <f>RCFs!C$37</f>
        <v>19.486666666666668</v>
      </c>
      <c r="AW120" s="124">
        <f t="shared" si="128"/>
        <v>1784.9</v>
      </c>
      <c r="AX120" s="125">
        <f>RCFs!C$64</f>
        <v>19.826666666666664</v>
      </c>
      <c r="AY120" s="124">
        <f t="shared" si="119"/>
        <v>1705.7</v>
      </c>
      <c r="AZ120" s="125">
        <f>RCFs!C$39</f>
        <v>18.946666666666665</v>
      </c>
      <c r="BA120" s="124">
        <f t="shared" si="120"/>
        <v>1716.7</v>
      </c>
      <c r="BB120" s="125">
        <f>RCFs!C$41</f>
        <v>19.068114999999999</v>
      </c>
    </row>
    <row r="121" spans="1:54" x14ac:dyDescent="0.3">
      <c r="A121" s="72"/>
      <c r="B121" s="73"/>
      <c r="C121" s="74"/>
      <c r="D121" s="75"/>
      <c r="E121" s="76"/>
      <c r="F121" s="75"/>
      <c r="G121" s="76"/>
      <c r="H121" s="75"/>
      <c r="I121" s="76"/>
      <c r="J121" s="114"/>
      <c r="K121" s="114"/>
      <c r="L121" s="114"/>
      <c r="M121" s="114"/>
      <c r="N121" s="114"/>
      <c r="O121" s="114"/>
      <c r="P121" s="114"/>
      <c r="Q121" s="75"/>
      <c r="R121" s="77"/>
      <c r="S121" s="114"/>
      <c r="T121" s="114"/>
      <c r="U121" s="75"/>
      <c r="V121" s="77"/>
      <c r="W121" s="75"/>
      <c r="X121" s="77"/>
      <c r="Y121" s="120"/>
      <c r="Z121" s="120"/>
      <c r="AA121" s="120"/>
      <c r="AB121" s="120"/>
      <c r="AC121" s="120"/>
      <c r="AD121" s="120"/>
      <c r="AE121" s="75"/>
      <c r="AF121" s="75"/>
      <c r="AG121" s="121"/>
      <c r="AH121" s="121"/>
      <c r="AI121" s="121"/>
      <c r="AJ121" s="75"/>
      <c r="AK121" s="78"/>
      <c r="AL121" s="75"/>
      <c r="AM121" s="78"/>
      <c r="AN121" s="57"/>
      <c r="AO121" s="58"/>
      <c r="AP121" s="121"/>
      <c r="AQ121" s="75"/>
      <c r="AR121" s="78"/>
      <c r="AS121" s="121"/>
      <c r="AT121" s="121"/>
      <c r="AU121" s="75"/>
      <c r="AV121" s="78"/>
      <c r="AW121" s="75"/>
      <c r="AX121" s="77"/>
      <c r="AY121" s="75"/>
      <c r="AZ121" s="77"/>
      <c r="BA121" s="57"/>
      <c r="BB121" s="58"/>
    </row>
    <row r="122" spans="1:54" x14ac:dyDescent="0.3">
      <c r="A122" s="24"/>
      <c r="B122" s="25" t="s">
        <v>120</v>
      </c>
      <c r="C122" s="26"/>
      <c r="D122" s="27"/>
      <c r="E122" s="28"/>
      <c r="F122" s="27"/>
      <c r="G122" s="28"/>
      <c r="H122" s="27"/>
      <c r="I122" s="28"/>
      <c r="J122" s="28"/>
      <c r="K122" s="28"/>
      <c r="L122" s="28"/>
      <c r="M122" s="28"/>
      <c r="N122" s="28"/>
      <c r="O122" s="28"/>
      <c r="P122" s="28"/>
      <c r="Q122" s="27"/>
      <c r="R122" s="28"/>
      <c r="S122" s="28"/>
      <c r="T122" s="28"/>
      <c r="U122" s="29"/>
      <c r="V122" s="28"/>
      <c r="W122" s="29"/>
      <c r="X122" s="28"/>
      <c r="Y122" s="31"/>
      <c r="Z122" s="30"/>
      <c r="AA122" s="31"/>
      <c r="AB122" s="31"/>
      <c r="AC122" s="31"/>
      <c r="AD122" s="31"/>
      <c r="AE122" s="29"/>
      <c r="AF122" s="28"/>
      <c r="AG122" s="27"/>
      <c r="AH122" s="27"/>
      <c r="AI122" s="32"/>
      <c r="AJ122" s="27"/>
      <c r="AK122" s="27"/>
      <c r="AL122" s="27"/>
      <c r="AM122" s="27"/>
      <c r="AN122" s="29"/>
      <c r="AO122" s="28"/>
      <c r="AP122" s="27"/>
      <c r="AQ122" s="29"/>
      <c r="AR122" s="28"/>
      <c r="AS122" s="27"/>
      <c r="AT122" s="27"/>
      <c r="AU122" s="27"/>
      <c r="AV122" s="28"/>
      <c r="AW122" s="27"/>
      <c r="AX122" s="28"/>
      <c r="AY122" s="27"/>
      <c r="AZ122" s="28"/>
      <c r="BA122" s="28"/>
      <c r="BB122" s="131"/>
    </row>
    <row r="123" spans="1:54" x14ac:dyDescent="0.3">
      <c r="A123" s="59"/>
      <c r="B123" s="132"/>
      <c r="C123" s="133"/>
      <c r="D123" s="34"/>
      <c r="E123" s="65"/>
      <c r="F123" s="34"/>
      <c r="G123" s="65"/>
      <c r="H123" s="34"/>
      <c r="I123" s="65"/>
      <c r="J123" s="117"/>
      <c r="K123" s="117"/>
      <c r="L123" s="117"/>
      <c r="M123" s="117"/>
      <c r="N123" s="117"/>
      <c r="O123" s="117"/>
      <c r="P123" s="117"/>
      <c r="Q123" s="34"/>
      <c r="R123" s="65"/>
      <c r="S123" s="117"/>
      <c r="T123" s="117"/>
      <c r="U123" s="34"/>
      <c r="V123" s="65"/>
      <c r="W123" s="34"/>
      <c r="X123" s="65"/>
      <c r="Y123" s="119"/>
      <c r="Z123" s="119"/>
      <c r="AA123" s="119"/>
      <c r="AB123" s="119"/>
      <c r="AC123" s="119"/>
      <c r="AD123" s="119"/>
      <c r="AE123" s="34"/>
      <c r="AF123" s="65"/>
      <c r="AG123" s="117"/>
      <c r="AH123" s="117"/>
      <c r="AI123" s="117"/>
      <c r="AJ123" s="33"/>
      <c r="AK123" s="65"/>
      <c r="AL123" s="34"/>
      <c r="AM123" s="65"/>
      <c r="AN123" s="34"/>
      <c r="AO123" s="65"/>
      <c r="AP123" s="117"/>
      <c r="AQ123" s="34"/>
      <c r="AR123" s="65"/>
      <c r="AS123" s="117"/>
      <c r="AT123" s="117"/>
      <c r="AU123" s="34"/>
      <c r="AV123" s="65"/>
      <c r="AW123" s="34"/>
      <c r="AX123" s="65"/>
      <c r="AY123" s="34"/>
      <c r="AZ123" s="65"/>
      <c r="BA123" s="34"/>
      <c r="BB123" s="65"/>
    </row>
    <row r="124" spans="1:54" ht="55.2" x14ac:dyDescent="0.3">
      <c r="A124" s="201">
        <v>2996</v>
      </c>
      <c r="B124" s="202" t="s">
        <v>121</v>
      </c>
      <c r="C124" s="42">
        <v>48.9</v>
      </c>
      <c r="D124" s="42">
        <f t="shared" ref="D124" si="731">ROUND(E124*C124,1)</f>
        <v>3680.6</v>
      </c>
      <c r="E124" s="123">
        <f>RCFs!C$43</f>
        <v>75.268515088574986</v>
      </c>
      <c r="F124" s="203">
        <f t="shared" ref="F124" si="732">ROUNDDOWN($C124*G124,1)</f>
        <v>907.5</v>
      </c>
      <c r="G124" s="204">
        <f>RCFs!C$5</f>
        <v>18.559999999999999</v>
      </c>
      <c r="H124" s="175">
        <f t="shared" ref="H124" si="733">ROUNDDOWN($C124*I124,1)</f>
        <v>907.5</v>
      </c>
      <c r="I124" s="204">
        <f>RCFs!C$5</f>
        <v>18.559999999999999</v>
      </c>
      <c r="J124" s="205">
        <f t="shared" ref="J124:P125" si="734">ROUND($C124*$I124*J$6,1)</f>
        <v>998.3</v>
      </c>
      <c r="K124" s="205">
        <f t="shared" si="734"/>
        <v>1243.4000000000001</v>
      </c>
      <c r="L124" s="205">
        <f t="shared" si="734"/>
        <v>1334.1</v>
      </c>
      <c r="M124" s="205">
        <f t="shared" si="734"/>
        <v>1470.3</v>
      </c>
      <c r="N124" s="205">
        <f t="shared" si="734"/>
        <v>1815.2</v>
      </c>
      <c r="O124" s="205">
        <f t="shared" si="734"/>
        <v>1951.3</v>
      </c>
      <c r="P124" s="205">
        <f t="shared" si="734"/>
        <v>2722.8</v>
      </c>
      <c r="Q124" s="175">
        <f t="shared" ref="Q124" si="735">ROUNDDOWN(R124*C124,1)</f>
        <v>943.9</v>
      </c>
      <c r="R124" s="206">
        <f>RCFs!C$7</f>
        <v>19.303333333333335</v>
      </c>
      <c r="S124" s="205">
        <f t="shared" ref="S124:T125" si="736">ROUNDDOWN($Q124*S$6,1)</f>
        <v>1227</v>
      </c>
      <c r="T124" s="205">
        <f t="shared" si="736"/>
        <v>1415.8</v>
      </c>
      <c r="U124" s="175">
        <f t="shared" ref="U124" si="737">ROUND(V124*C124,1)</f>
        <v>900.9</v>
      </c>
      <c r="V124" s="206">
        <f>RCFs!C$9</f>
        <v>18.422999999999998</v>
      </c>
      <c r="W124" s="175">
        <f t="shared" ref="W124" si="738">ROUND(X124*C124,1)</f>
        <v>900.9</v>
      </c>
      <c r="X124" s="206">
        <f t="shared" ref="X124" si="739">V124</f>
        <v>18.422999999999998</v>
      </c>
      <c r="Y124" s="205">
        <f t="shared" ref="Y124:Y125" si="740">ROUNDDOWN($W124*Y$6,1)</f>
        <v>990.9</v>
      </c>
      <c r="Z124" s="205">
        <f t="shared" ref="Z124:AD125" si="741">ROUND($C124*$X124*Z$6,1)</f>
        <v>1234.2</v>
      </c>
      <c r="AA124" s="205">
        <f t="shared" si="741"/>
        <v>1459.4</v>
      </c>
      <c r="AB124" s="205">
        <f t="shared" si="741"/>
        <v>1324.3</v>
      </c>
      <c r="AC124" s="205">
        <f t="shared" si="741"/>
        <v>1954.9</v>
      </c>
      <c r="AD124" s="205">
        <f t="shared" si="741"/>
        <v>2702.7</v>
      </c>
      <c r="AE124" s="175">
        <f t="shared" ref="AE124" si="742">ROUND(AF124*C124,1)</f>
        <v>935.6</v>
      </c>
      <c r="AF124" s="206">
        <f>RCFs!C$13</f>
        <v>19.133333333333333</v>
      </c>
      <c r="AG124" s="207">
        <f t="shared" ref="AG124:AI125" si="743">ROUND($AE124*AG$6,1)</f>
        <v>1543.7</v>
      </c>
      <c r="AH124" s="207">
        <f t="shared" si="743"/>
        <v>1964.8</v>
      </c>
      <c r="AI124" s="207">
        <f t="shared" si="743"/>
        <v>2806.8</v>
      </c>
      <c r="AJ124" s="175">
        <f t="shared" ref="AJ124" si="744">ROUNDDOWN(C124*AK124,1)</f>
        <v>926.4</v>
      </c>
      <c r="AK124" s="206">
        <f>RCFs!C$25</f>
        <v>18.946666666666665</v>
      </c>
      <c r="AL124" s="175">
        <f t="shared" ref="AL124" si="745">ROUNDDOWN(C124*AM124,1)</f>
        <v>1227</v>
      </c>
      <c r="AM124" s="206">
        <f>RCFs!C$29</f>
        <v>25.09333333333333</v>
      </c>
      <c r="AN124" s="175">
        <f t="shared" ref="AN124" si="746">ROUNDDOWN(C124*AO124,1)</f>
        <v>983.9</v>
      </c>
      <c r="AO124" s="206">
        <f>RCFs!C$33</f>
        <v>20.121274</v>
      </c>
      <c r="AP124" s="207">
        <f t="shared" ref="AP124" si="747">ROUNDDOWN(AN124*AP$6,1)</f>
        <v>1475.8</v>
      </c>
      <c r="AQ124" s="203">
        <f t="shared" ref="AQ124:AQ125" si="748">ROUNDDOWN($C124*AR124,1)</f>
        <v>1280.5999999999999</v>
      </c>
      <c r="AR124" s="206">
        <f>RCFs!C$35</f>
        <v>26.19</v>
      </c>
      <c r="AS124" s="207">
        <f t="shared" ref="AS124" si="749">ROUNDDOWN(AQ124*AS$6,1)</f>
        <v>1664.7</v>
      </c>
      <c r="AT124" s="207">
        <f t="shared" ref="AT124" si="750">ROUNDDOWN(AR124*AT$6,1)</f>
        <v>37.9</v>
      </c>
      <c r="AU124" s="203">
        <f t="shared" ref="AU124:AU125" si="751">ROUNDDOWN($C124*AV124,1)</f>
        <v>952.8</v>
      </c>
      <c r="AV124" s="203">
        <f>RCFs!C$37</f>
        <v>19.486666666666668</v>
      </c>
      <c r="AW124" s="124">
        <f t="shared" ref="AW124:AW125" si="752">ROUNDDOWN(AX124*C124,1)</f>
        <v>969.5</v>
      </c>
      <c r="AX124" s="125">
        <f>RCFs!C$64</f>
        <v>19.826666666666664</v>
      </c>
      <c r="AY124" s="203">
        <f t="shared" ref="AY124:AY125" si="753">ROUNDDOWN($C124*AZ124,1)</f>
        <v>926.4</v>
      </c>
      <c r="AZ124" s="206">
        <f>RCFs!C$39</f>
        <v>18.946666666666665</v>
      </c>
      <c r="BA124" s="203">
        <f t="shared" ref="BA124:BA125" si="754">ROUNDDOWN($C124*BB124,1)</f>
        <v>932.4</v>
      </c>
      <c r="BB124" s="206">
        <f>RCFs!C$41</f>
        <v>19.068114999999999</v>
      </c>
    </row>
    <row r="125" spans="1:54" s="67" customFormat="1" ht="14.25" customHeight="1" x14ac:dyDescent="0.3">
      <c r="A125" s="201">
        <v>2998</v>
      </c>
      <c r="B125" s="202" t="s">
        <v>122</v>
      </c>
      <c r="C125" s="42">
        <v>12.3</v>
      </c>
      <c r="D125" s="42">
        <f t="shared" ref="D125" si="755">ROUND(E125*C125,1)</f>
        <v>925.8</v>
      </c>
      <c r="E125" s="123">
        <f>RCFs!C$43</f>
        <v>75.268515088574986</v>
      </c>
      <c r="F125" s="203">
        <f t="shared" ref="F125" si="756">ROUNDDOWN($C125*G125,1)</f>
        <v>228.2</v>
      </c>
      <c r="G125" s="204">
        <f>RCFs!C$5</f>
        <v>18.559999999999999</v>
      </c>
      <c r="H125" s="175">
        <f t="shared" ref="H125" si="757">ROUNDDOWN($C125*I125,1)</f>
        <v>228.2</v>
      </c>
      <c r="I125" s="204">
        <f>RCFs!C$5</f>
        <v>18.559999999999999</v>
      </c>
      <c r="J125" s="205">
        <f t="shared" si="734"/>
        <v>251.1</v>
      </c>
      <c r="K125" s="205">
        <f t="shared" si="734"/>
        <v>312.8</v>
      </c>
      <c r="L125" s="205">
        <f t="shared" si="734"/>
        <v>335.6</v>
      </c>
      <c r="M125" s="205">
        <f t="shared" si="734"/>
        <v>369.8</v>
      </c>
      <c r="N125" s="205">
        <f t="shared" si="734"/>
        <v>456.6</v>
      </c>
      <c r="O125" s="205">
        <f t="shared" si="734"/>
        <v>490.8</v>
      </c>
      <c r="P125" s="205">
        <f t="shared" si="734"/>
        <v>684.9</v>
      </c>
      <c r="Q125" s="175">
        <f t="shared" ref="Q125" si="758">ROUNDDOWN(R125*C125,1)</f>
        <v>237.4</v>
      </c>
      <c r="R125" s="206">
        <f>RCFs!C$7</f>
        <v>19.303333333333335</v>
      </c>
      <c r="S125" s="205">
        <f t="shared" si="736"/>
        <v>308.60000000000002</v>
      </c>
      <c r="T125" s="205">
        <f t="shared" si="736"/>
        <v>356.1</v>
      </c>
      <c r="U125" s="175">
        <f t="shared" ref="U125" si="759">ROUND(V125*C125,1)</f>
        <v>226.6</v>
      </c>
      <c r="V125" s="206">
        <f>RCFs!C$9</f>
        <v>18.422999999999998</v>
      </c>
      <c r="W125" s="175">
        <f t="shared" ref="W125" si="760">ROUND(X125*C125,1)</f>
        <v>226.6</v>
      </c>
      <c r="X125" s="206">
        <f t="shared" ref="X125" si="761">V125</f>
        <v>18.422999999999998</v>
      </c>
      <c r="Y125" s="205">
        <f t="shared" si="740"/>
        <v>249.2</v>
      </c>
      <c r="Z125" s="205">
        <f t="shared" si="741"/>
        <v>310.39999999999998</v>
      </c>
      <c r="AA125" s="205">
        <f t="shared" si="741"/>
        <v>367.1</v>
      </c>
      <c r="AB125" s="205">
        <f t="shared" si="741"/>
        <v>333.1</v>
      </c>
      <c r="AC125" s="205">
        <f t="shared" si="741"/>
        <v>491.7</v>
      </c>
      <c r="AD125" s="205">
        <f t="shared" si="741"/>
        <v>679.8</v>
      </c>
      <c r="AE125" s="175">
        <f t="shared" ref="AE125" si="762">ROUND(AF125*C125,1)</f>
        <v>235.3</v>
      </c>
      <c r="AF125" s="206">
        <f>RCFs!C$13</f>
        <v>19.133333333333333</v>
      </c>
      <c r="AG125" s="207">
        <f t="shared" si="743"/>
        <v>388.2</v>
      </c>
      <c r="AH125" s="207">
        <f t="shared" si="743"/>
        <v>494.1</v>
      </c>
      <c r="AI125" s="207">
        <f t="shared" si="743"/>
        <v>705.9</v>
      </c>
      <c r="AJ125" s="175">
        <f t="shared" ref="AJ125" si="763">ROUNDDOWN(C125*AK125,1)</f>
        <v>233</v>
      </c>
      <c r="AK125" s="206">
        <f>RCFs!C$25</f>
        <v>18.946666666666665</v>
      </c>
      <c r="AL125" s="175">
        <f t="shared" ref="AL125" si="764">ROUNDDOWN(C125*AM125,1)</f>
        <v>308.60000000000002</v>
      </c>
      <c r="AM125" s="206">
        <f>RCFs!C$29</f>
        <v>25.09333333333333</v>
      </c>
      <c r="AN125" s="175">
        <f t="shared" ref="AN125" si="765">ROUNDDOWN(C125*AO125,1)</f>
        <v>247.4</v>
      </c>
      <c r="AO125" s="206">
        <f>RCFs!C$33</f>
        <v>20.121274</v>
      </c>
      <c r="AP125" s="207">
        <f t="shared" ref="AP125" si="766">ROUNDDOWN(AN125*AP$6,1)</f>
        <v>371.1</v>
      </c>
      <c r="AQ125" s="203">
        <f t="shared" si="748"/>
        <v>322.10000000000002</v>
      </c>
      <c r="AR125" s="206">
        <f>RCFs!C$35</f>
        <v>26.19</v>
      </c>
      <c r="AS125" s="207">
        <f t="shared" ref="AS125" si="767">ROUNDDOWN(AQ125*AS$6,1)</f>
        <v>418.7</v>
      </c>
      <c r="AT125" s="207">
        <f t="shared" ref="AT125" si="768">ROUNDDOWN(AR125*AT$6,1)</f>
        <v>37.9</v>
      </c>
      <c r="AU125" s="203">
        <f t="shared" si="751"/>
        <v>239.6</v>
      </c>
      <c r="AV125" s="203">
        <f>RCFs!C$37</f>
        <v>19.486666666666668</v>
      </c>
      <c r="AW125" s="124">
        <f t="shared" si="752"/>
        <v>243.8</v>
      </c>
      <c r="AX125" s="125">
        <f>RCFs!C$64</f>
        <v>19.826666666666664</v>
      </c>
      <c r="AY125" s="203">
        <f t="shared" si="753"/>
        <v>233</v>
      </c>
      <c r="AZ125" s="206">
        <f>RCFs!C$39</f>
        <v>18.946666666666665</v>
      </c>
      <c r="BA125" s="203">
        <f t="shared" si="754"/>
        <v>234.5</v>
      </c>
      <c r="BB125" s="206">
        <f>RCFs!C$41</f>
        <v>19.068114999999999</v>
      </c>
    </row>
    <row r="126" spans="1:54" s="67" customFormat="1" x14ac:dyDescent="0.3">
      <c r="A126" s="147"/>
      <c r="B126" s="148"/>
      <c r="C126" s="149"/>
      <c r="D126" s="149"/>
      <c r="E126" s="150"/>
      <c r="F126" s="184"/>
      <c r="G126" s="150"/>
      <c r="H126" s="151"/>
      <c r="I126" s="152"/>
      <c r="J126" s="153"/>
      <c r="K126" s="153"/>
      <c r="L126" s="153"/>
      <c r="M126" s="153"/>
      <c r="N126" s="153"/>
      <c r="O126" s="153"/>
      <c r="P126" s="153"/>
      <c r="Q126" s="151"/>
      <c r="R126" s="152"/>
      <c r="S126" s="153"/>
      <c r="T126" s="153"/>
      <c r="U126" s="151"/>
      <c r="V126" s="152"/>
      <c r="W126" s="151"/>
      <c r="X126" s="152"/>
      <c r="Y126" s="153"/>
      <c r="Z126" s="153"/>
      <c r="AA126" s="153"/>
      <c r="AB126" s="153"/>
      <c r="AC126" s="153"/>
      <c r="AD126" s="153"/>
      <c r="AE126" s="151"/>
      <c r="AF126" s="152"/>
      <c r="AG126" s="153"/>
      <c r="AH126" s="153"/>
      <c r="AI126" s="153"/>
      <c r="AJ126" s="151"/>
      <c r="AK126" s="152"/>
      <c r="AL126" s="151"/>
      <c r="AM126" s="152"/>
      <c r="AN126" s="151"/>
      <c r="AO126" s="152"/>
      <c r="AP126" s="153"/>
      <c r="AQ126" s="151"/>
      <c r="AR126" s="152"/>
      <c r="AS126" s="153"/>
      <c r="AT126" s="153"/>
      <c r="AU126" s="149"/>
      <c r="AV126" s="154"/>
      <c r="AW126" s="149"/>
      <c r="AX126" s="154"/>
      <c r="AY126" s="151"/>
      <c r="AZ126" s="152"/>
      <c r="BA126" s="151"/>
      <c r="BB126" s="152"/>
    </row>
    <row r="127" spans="1:54" x14ac:dyDescent="0.3">
      <c r="A127" s="292" t="s">
        <v>231</v>
      </c>
      <c r="B127" s="293"/>
      <c r="C127" s="293"/>
      <c r="D127" s="293"/>
      <c r="E127" s="294"/>
      <c r="F127" s="294"/>
      <c r="G127" s="294"/>
      <c r="H127" s="295"/>
      <c r="I127" s="294"/>
      <c r="J127" s="296"/>
      <c r="K127" s="296"/>
      <c r="L127" s="296"/>
      <c r="M127" s="296"/>
      <c r="N127" s="296"/>
      <c r="O127" s="296"/>
      <c r="P127" s="296"/>
      <c r="Q127" s="295"/>
      <c r="R127" s="294"/>
      <c r="S127" s="296"/>
      <c r="T127" s="296"/>
      <c r="U127" s="297"/>
      <c r="V127" s="298"/>
      <c r="W127" s="297"/>
      <c r="X127" s="298"/>
      <c r="Y127" s="293"/>
      <c r="Z127" s="293"/>
      <c r="AA127" s="293"/>
      <c r="AB127" s="293"/>
      <c r="AC127" s="293"/>
      <c r="AD127" s="293"/>
      <c r="AE127" s="295"/>
      <c r="AF127" s="295"/>
      <c r="AG127" s="295"/>
      <c r="AH127" s="295"/>
      <c r="AI127" s="295"/>
      <c r="AJ127" s="293"/>
      <c r="AK127" s="298"/>
      <c r="AL127" s="293"/>
      <c r="AM127" s="298"/>
      <c r="AN127" s="299"/>
      <c r="AO127" s="296"/>
      <c r="AP127" s="295"/>
      <c r="AQ127" s="295"/>
      <c r="AR127" s="295"/>
      <c r="AS127" s="295"/>
      <c r="AT127" s="295"/>
      <c r="AU127" s="295"/>
      <c r="AV127" s="295"/>
      <c r="AW127" s="295"/>
      <c r="AX127" s="295"/>
      <c r="AY127" s="295"/>
      <c r="AZ127" s="295"/>
      <c r="BA127" s="299"/>
      <c r="BB127" s="300"/>
    </row>
    <row r="128" spans="1:54" x14ac:dyDescent="0.3">
      <c r="A128" s="258" t="s">
        <v>68</v>
      </c>
      <c r="B128" s="79"/>
      <c r="C128" s="80"/>
      <c r="D128" s="81"/>
      <c r="E128" s="82"/>
      <c r="F128" s="82"/>
      <c r="G128" s="82"/>
      <c r="H128" s="82"/>
      <c r="I128" s="82"/>
      <c r="J128" s="82"/>
      <c r="K128" s="82"/>
      <c r="L128" s="82"/>
      <c r="M128" s="82"/>
      <c r="N128" s="82"/>
      <c r="O128" s="82"/>
      <c r="P128" s="82"/>
      <c r="Q128" s="82"/>
      <c r="R128" s="82"/>
      <c r="S128" s="82"/>
      <c r="T128" s="82"/>
      <c r="U128" s="81"/>
      <c r="V128" s="82"/>
      <c r="W128" s="81"/>
      <c r="X128" s="82"/>
      <c r="Y128" s="79"/>
      <c r="Z128" s="79"/>
      <c r="AA128" s="79"/>
      <c r="AB128" s="79"/>
      <c r="AC128" s="79"/>
      <c r="AD128" s="79"/>
      <c r="AE128" s="81"/>
      <c r="AF128" s="82"/>
      <c r="AG128" s="82"/>
      <c r="AH128" s="82"/>
      <c r="AI128" s="82"/>
      <c r="AJ128" s="81"/>
      <c r="AK128" s="82"/>
      <c r="AL128" s="81"/>
      <c r="AM128" s="82"/>
      <c r="AN128" s="81"/>
      <c r="AO128" s="82"/>
      <c r="AP128" s="82"/>
      <c r="AQ128" s="81"/>
      <c r="AR128" s="82"/>
      <c r="AS128" s="82"/>
      <c r="AT128" s="82"/>
      <c r="AU128" s="81"/>
      <c r="AV128" s="82"/>
      <c r="AW128" s="81"/>
      <c r="AX128" s="82"/>
      <c r="AY128" s="81"/>
      <c r="AZ128" s="82"/>
      <c r="BA128" s="82"/>
      <c r="BB128" s="83"/>
    </row>
    <row r="129" spans="1:54" x14ac:dyDescent="0.3">
      <c r="A129" s="277" t="s">
        <v>147</v>
      </c>
      <c r="B129" s="260"/>
      <c r="C129" s="260"/>
      <c r="D129" s="260"/>
      <c r="E129" s="260"/>
      <c r="F129" s="261"/>
      <c r="G129" s="261"/>
      <c r="H129" s="261"/>
      <c r="I129" s="261"/>
      <c r="J129" s="262"/>
      <c r="K129" s="262"/>
      <c r="L129" s="262"/>
      <c r="M129" s="262"/>
      <c r="N129" s="262"/>
      <c r="O129" s="262"/>
      <c r="P129" s="262"/>
      <c r="Q129" s="261"/>
      <c r="R129" s="261"/>
      <c r="S129" s="262"/>
      <c r="T129" s="262"/>
      <c r="U129" s="261"/>
      <c r="V129" s="261"/>
      <c r="W129" s="261"/>
      <c r="X129" s="261"/>
      <c r="Y129" s="263"/>
      <c r="Z129" s="263"/>
      <c r="AA129" s="263"/>
      <c r="AB129" s="263"/>
      <c r="AC129" s="263"/>
      <c r="AD129" s="263"/>
      <c r="AE129" s="261"/>
      <c r="AF129" s="261"/>
      <c r="AG129" s="85"/>
      <c r="AH129" s="85"/>
      <c r="AI129" s="85"/>
      <c r="AJ129" s="261"/>
      <c r="AK129" s="261"/>
      <c r="AL129" s="261"/>
      <c r="AM129" s="261"/>
      <c r="AN129" s="141"/>
      <c r="AO129" s="261"/>
      <c r="AP129" s="85"/>
      <c r="AQ129" s="141"/>
      <c r="AR129" s="261"/>
      <c r="AS129" s="85"/>
      <c r="AT129" s="85"/>
      <c r="AU129" s="141"/>
      <c r="AV129" s="261"/>
      <c r="AW129" s="303"/>
      <c r="AX129" s="261"/>
      <c r="AY129" s="141"/>
      <c r="AZ129" s="182"/>
      <c r="BA129" s="261"/>
      <c r="BB129" s="142"/>
    </row>
    <row r="130" spans="1:54" x14ac:dyDescent="0.3">
      <c r="A130" s="143" t="s">
        <v>238</v>
      </c>
      <c r="B130" s="260"/>
      <c r="C130" s="260"/>
      <c r="D130" s="260"/>
      <c r="E130" s="260"/>
      <c r="F130" s="261"/>
      <c r="G130" s="261"/>
      <c r="H130" s="261"/>
      <c r="I130" s="261"/>
      <c r="J130" s="262"/>
      <c r="K130" s="262"/>
      <c r="L130" s="262"/>
      <c r="M130" s="262"/>
      <c r="N130" s="262"/>
      <c r="O130" s="262"/>
      <c r="P130" s="262"/>
      <c r="Q130" s="261"/>
      <c r="R130" s="261"/>
      <c r="S130" s="262"/>
      <c r="T130" s="262"/>
      <c r="U130" s="261"/>
      <c r="V130" s="261"/>
      <c r="W130" s="261"/>
      <c r="X130" s="261"/>
      <c r="Y130" s="263"/>
      <c r="Z130" s="263"/>
      <c r="AA130" s="263"/>
      <c r="AB130" s="263"/>
      <c r="AC130" s="263"/>
      <c r="AD130" s="263"/>
      <c r="AE130" s="261"/>
      <c r="AF130" s="261"/>
      <c r="AG130" s="85"/>
      <c r="AH130" s="85"/>
      <c r="AI130" s="85"/>
      <c r="AJ130" s="261"/>
      <c r="AK130" s="261"/>
      <c r="AL130" s="261"/>
      <c r="AM130" s="261"/>
      <c r="AN130" s="141"/>
      <c r="AO130" s="261"/>
      <c r="AP130" s="85"/>
      <c r="AQ130" s="141"/>
      <c r="AR130" s="261"/>
      <c r="AS130" s="85"/>
      <c r="AT130" s="85"/>
      <c r="AU130" s="141"/>
      <c r="AV130" s="261"/>
      <c r="AW130" s="303"/>
      <c r="AX130" s="261"/>
      <c r="AY130" s="141"/>
      <c r="AZ130" s="182"/>
      <c r="BA130" s="261"/>
      <c r="BB130" s="142"/>
    </row>
    <row r="131" spans="1:54" x14ac:dyDescent="0.3">
      <c r="A131" s="278" t="s">
        <v>218</v>
      </c>
      <c r="B131" s="261"/>
      <c r="C131" s="263"/>
      <c r="D131" s="84"/>
      <c r="E131" s="85"/>
      <c r="F131" s="85"/>
      <c r="G131" s="85"/>
      <c r="H131" s="85"/>
      <c r="I131" s="85"/>
      <c r="J131" s="262"/>
      <c r="K131" s="262"/>
      <c r="L131" s="262"/>
      <c r="M131" s="262"/>
      <c r="N131" s="262"/>
      <c r="O131" s="262"/>
      <c r="P131" s="262"/>
      <c r="Q131" s="85"/>
      <c r="R131" s="85"/>
      <c r="S131" s="262"/>
      <c r="T131" s="262"/>
      <c r="U131" s="84"/>
      <c r="V131" s="85"/>
      <c r="W131" s="84"/>
      <c r="X131" s="85"/>
      <c r="Y131" s="263"/>
      <c r="Z131" s="263"/>
      <c r="AA131" s="263"/>
      <c r="AB131" s="263"/>
      <c r="AC131" s="263"/>
      <c r="AD131" s="263"/>
      <c r="AE131" s="84"/>
      <c r="AF131" s="85"/>
      <c r="AG131" s="85"/>
      <c r="AH131" s="85"/>
      <c r="AI131" s="85"/>
      <c r="AJ131" s="84"/>
      <c r="AK131" s="85"/>
      <c r="AL131" s="84"/>
      <c r="AM131" s="85"/>
      <c r="AN131" s="84"/>
      <c r="AO131" s="85"/>
      <c r="AP131" s="85"/>
      <c r="AQ131" s="84"/>
      <c r="AR131" s="85"/>
      <c r="AS131" s="85"/>
      <c r="AT131" s="85"/>
      <c r="AU131" s="84"/>
      <c r="AV131" s="85"/>
      <c r="AW131" s="84"/>
      <c r="AX131" s="85"/>
      <c r="AY131" s="84"/>
      <c r="AZ131" s="85"/>
      <c r="BA131" s="85"/>
      <c r="BB131" s="86"/>
    </row>
    <row r="132" spans="1:54" x14ac:dyDescent="0.3">
      <c r="A132" s="259" t="s">
        <v>219</v>
      </c>
      <c r="B132" s="261"/>
      <c r="C132" s="263"/>
      <c r="D132" s="84"/>
      <c r="E132" s="85"/>
      <c r="F132" s="85"/>
      <c r="G132" s="85"/>
      <c r="H132" s="85"/>
      <c r="I132" s="85"/>
      <c r="J132" s="85"/>
      <c r="K132" s="85"/>
      <c r="L132" s="85"/>
      <c r="M132" s="85"/>
      <c r="N132" s="85"/>
      <c r="O132" s="85"/>
      <c r="P132" s="85"/>
      <c r="Q132" s="85"/>
      <c r="R132" s="85"/>
      <c r="S132" s="85"/>
      <c r="T132" s="85"/>
      <c r="U132" s="84"/>
      <c r="V132" s="85"/>
      <c r="W132" s="84"/>
      <c r="X132" s="85"/>
      <c r="Y132" s="263"/>
      <c r="Z132" s="263"/>
      <c r="AA132" s="263"/>
      <c r="AB132" s="263"/>
      <c r="AC132" s="263"/>
      <c r="AD132" s="263"/>
      <c r="AE132" s="84"/>
      <c r="AF132" s="85"/>
      <c r="AG132" s="85"/>
      <c r="AH132" s="85"/>
      <c r="AI132" s="85"/>
      <c r="AJ132" s="84"/>
      <c r="AK132" s="85"/>
      <c r="AL132" s="84"/>
      <c r="AM132" s="85"/>
      <c r="AN132" s="84"/>
      <c r="AO132" s="85"/>
      <c r="AP132" s="85"/>
      <c r="AQ132" s="84"/>
      <c r="AR132" s="85"/>
      <c r="AS132" s="85"/>
      <c r="AT132" s="85"/>
      <c r="AU132" s="84"/>
      <c r="AV132" s="85"/>
      <c r="AW132" s="84"/>
      <c r="AX132" s="85"/>
      <c r="AY132" s="84"/>
      <c r="AZ132" s="85"/>
      <c r="BA132" s="85"/>
      <c r="BB132" s="86"/>
    </row>
    <row r="133" spans="1:54" x14ac:dyDescent="0.3">
      <c r="A133" s="277" t="s">
        <v>280</v>
      </c>
      <c r="B133" s="261"/>
      <c r="C133" s="263"/>
      <c r="D133" s="84"/>
      <c r="E133" s="85"/>
      <c r="F133" s="85"/>
      <c r="G133" s="85"/>
      <c r="H133" s="85"/>
      <c r="I133" s="85"/>
      <c r="J133" s="85"/>
      <c r="K133" s="85"/>
      <c r="L133" s="85"/>
      <c r="M133" s="85"/>
      <c r="N133" s="85"/>
      <c r="O133" s="85"/>
      <c r="P133" s="85"/>
      <c r="Q133" s="85"/>
      <c r="R133" s="85"/>
      <c r="S133" s="85"/>
      <c r="T133" s="85"/>
      <c r="U133" s="84"/>
      <c r="V133" s="85"/>
      <c r="W133" s="84"/>
      <c r="X133" s="85"/>
      <c r="Y133" s="263"/>
      <c r="Z133" s="263"/>
      <c r="AA133" s="263"/>
      <c r="AB133" s="263"/>
      <c r="AC133" s="263"/>
      <c r="AD133" s="263"/>
      <c r="AE133" s="84"/>
      <c r="AF133" s="85"/>
      <c r="AG133" s="85"/>
      <c r="AH133" s="85"/>
      <c r="AI133" s="85"/>
      <c r="AJ133" s="84"/>
      <c r="AK133" s="85"/>
      <c r="AL133" s="84"/>
      <c r="AM133" s="85"/>
      <c r="AN133" s="84"/>
      <c r="AO133" s="85"/>
      <c r="AP133" s="85"/>
      <c r="AQ133" s="84"/>
      <c r="AR133" s="85"/>
      <c r="AS133" s="85"/>
      <c r="AT133" s="85"/>
      <c r="AU133" s="84"/>
      <c r="AV133" s="85"/>
      <c r="AW133" s="84"/>
      <c r="AX133" s="85"/>
      <c r="AY133" s="84"/>
      <c r="AZ133" s="85"/>
      <c r="BA133" s="85"/>
      <c r="BB133" s="86"/>
    </row>
    <row r="134" spans="1:54" x14ac:dyDescent="0.3">
      <c r="A134" s="279" t="s">
        <v>232</v>
      </c>
      <c r="B134" s="261"/>
      <c r="C134" s="263"/>
      <c r="D134" s="84"/>
      <c r="E134" s="85"/>
      <c r="F134" s="85"/>
      <c r="G134" s="85"/>
      <c r="H134" s="85"/>
      <c r="I134" s="85"/>
      <c r="J134" s="85"/>
      <c r="K134" s="85"/>
      <c r="L134" s="85"/>
      <c r="M134" s="85"/>
      <c r="N134" s="85"/>
      <c r="O134" s="85"/>
      <c r="P134" s="85"/>
      <c r="Q134" s="85"/>
      <c r="R134" s="85"/>
      <c r="S134" s="85"/>
      <c r="T134" s="85"/>
      <c r="U134" s="84"/>
      <c r="V134" s="85"/>
      <c r="W134" s="84"/>
      <c r="X134" s="85"/>
      <c r="Y134" s="263"/>
      <c r="Z134" s="263"/>
      <c r="AA134" s="263"/>
      <c r="AB134" s="263"/>
      <c r="AC134" s="263"/>
      <c r="AD134" s="263"/>
      <c r="AE134" s="84"/>
      <c r="AF134" s="85"/>
      <c r="AG134" s="85"/>
      <c r="AH134" s="85"/>
      <c r="AI134" s="85"/>
      <c r="AJ134" s="84"/>
      <c r="AK134" s="85"/>
      <c r="AL134" s="84"/>
      <c r="AM134" s="85"/>
      <c r="AN134" s="84"/>
      <c r="AO134" s="85"/>
      <c r="AP134" s="85"/>
      <c r="AQ134" s="84"/>
      <c r="AR134" s="85"/>
      <c r="AS134" s="85"/>
      <c r="AT134" s="85"/>
      <c r="AU134" s="84"/>
      <c r="AV134" s="85"/>
      <c r="AW134" s="84"/>
      <c r="AX134" s="85"/>
      <c r="AY134" s="84"/>
      <c r="AZ134" s="85"/>
      <c r="BA134" s="85"/>
      <c r="BB134" s="86"/>
    </row>
    <row r="135" spans="1:54" x14ac:dyDescent="0.3">
      <c r="A135" s="280" t="s">
        <v>233</v>
      </c>
      <c r="B135" s="261"/>
      <c r="C135" s="263"/>
      <c r="D135" s="84"/>
      <c r="E135" s="85"/>
      <c r="F135" s="85"/>
      <c r="G135" s="85"/>
      <c r="H135" s="85"/>
      <c r="I135" s="85"/>
      <c r="J135" s="85"/>
      <c r="K135" s="85"/>
      <c r="L135" s="85"/>
      <c r="M135" s="85"/>
      <c r="N135" s="85"/>
      <c r="O135" s="85"/>
      <c r="P135" s="85"/>
      <c r="Q135" s="85"/>
      <c r="R135" s="85"/>
      <c r="S135" s="85"/>
      <c r="T135" s="85"/>
      <c r="U135" s="84"/>
      <c r="V135" s="85"/>
      <c r="W135" s="84"/>
      <c r="X135" s="85"/>
      <c r="Y135" s="263"/>
      <c r="Z135" s="263"/>
      <c r="AA135" s="263"/>
      <c r="AB135" s="263"/>
      <c r="AC135" s="263"/>
      <c r="AD135" s="263"/>
      <c r="AE135" s="84"/>
      <c r="AF135" s="85"/>
      <c r="AG135" s="85"/>
      <c r="AH135" s="85"/>
      <c r="AI135" s="85"/>
      <c r="AJ135" s="84"/>
      <c r="AK135" s="85"/>
      <c r="AL135" s="84"/>
      <c r="AM135" s="85"/>
      <c r="AN135" s="84"/>
      <c r="AO135" s="85"/>
      <c r="AP135" s="85"/>
      <c r="AQ135" s="84"/>
      <c r="AR135" s="85"/>
      <c r="AS135" s="85"/>
      <c r="AT135" s="85"/>
      <c r="AU135" s="84"/>
      <c r="AV135" s="85"/>
      <c r="AW135" s="84"/>
      <c r="AX135" s="85"/>
      <c r="AY135" s="84"/>
      <c r="AZ135" s="85"/>
      <c r="BA135" s="85"/>
      <c r="BB135" s="86"/>
    </row>
    <row r="136" spans="1:54" x14ac:dyDescent="0.3">
      <c r="A136" s="279" t="s">
        <v>234</v>
      </c>
      <c r="B136" s="261"/>
      <c r="C136" s="263"/>
      <c r="D136" s="84"/>
      <c r="E136" s="85"/>
      <c r="F136" s="85"/>
      <c r="G136" s="85"/>
      <c r="H136" s="85"/>
      <c r="I136" s="85"/>
      <c r="J136" s="85"/>
      <c r="K136" s="85"/>
      <c r="L136" s="85"/>
      <c r="M136" s="85"/>
      <c r="N136" s="85"/>
      <c r="O136" s="85"/>
      <c r="P136" s="85"/>
      <c r="Q136" s="85"/>
      <c r="R136" s="85"/>
      <c r="S136" s="85"/>
      <c r="T136" s="85"/>
      <c r="U136" s="84"/>
      <c r="V136" s="85"/>
      <c r="W136" s="84"/>
      <c r="X136" s="85"/>
      <c r="Y136" s="263"/>
      <c r="Z136" s="263"/>
      <c r="AA136" s="263"/>
      <c r="AB136" s="263"/>
      <c r="AC136" s="263"/>
      <c r="AD136" s="263"/>
      <c r="AE136" s="84"/>
      <c r="AF136" s="85"/>
      <c r="AG136" s="85"/>
      <c r="AH136" s="85"/>
      <c r="AI136" s="85"/>
      <c r="AJ136" s="84"/>
      <c r="AK136" s="85"/>
      <c r="AL136" s="84"/>
      <c r="AM136" s="85"/>
      <c r="AN136" s="84"/>
      <c r="AO136" s="85"/>
      <c r="AP136" s="85"/>
      <c r="AQ136" s="84"/>
      <c r="AR136" s="85"/>
      <c r="AS136" s="85"/>
      <c r="AT136" s="85"/>
      <c r="AU136" s="84"/>
      <c r="AV136" s="85"/>
      <c r="AW136" s="84"/>
      <c r="AX136" s="85"/>
      <c r="AY136" s="84"/>
      <c r="AZ136" s="85"/>
      <c r="BA136" s="85"/>
      <c r="BB136" s="86"/>
    </row>
    <row r="137" spans="1:54" x14ac:dyDescent="0.3">
      <c r="A137" s="281" t="s">
        <v>281</v>
      </c>
      <c r="B137" s="261"/>
      <c r="C137" s="263"/>
      <c r="D137" s="84"/>
      <c r="E137" s="85"/>
      <c r="F137" s="85"/>
      <c r="G137" s="85"/>
      <c r="H137" s="85"/>
      <c r="I137" s="85"/>
      <c r="J137" s="85"/>
      <c r="K137" s="85"/>
      <c r="L137" s="85"/>
      <c r="M137" s="85"/>
      <c r="N137" s="85"/>
      <c r="O137" s="85"/>
      <c r="P137" s="85"/>
      <c r="Q137" s="85"/>
      <c r="R137" s="85"/>
      <c r="S137" s="85"/>
      <c r="T137" s="85"/>
      <c r="U137" s="84"/>
      <c r="V137" s="85"/>
      <c r="W137" s="84"/>
      <c r="X137" s="85"/>
      <c r="Y137" s="263"/>
      <c r="Z137" s="263"/>
      <c r="AA137" s="263"/>
      <c r="AB137" s="263"/>
      <c r="AC137" s="263"/>
      <c r="AD137" s="263"/>
      <c r="AE137" s="84"/>
      <c r="AF137" s="85"/>
      <c r="AG137" s="85"/>
      <c r="AH137" s="85"/>
      <c r="AI137" s="85"/>
      <c r="AJ137" s="84"/>
      <c r="AK137" s="85"/>
      <c r="AL137" s="84"/>
      <c r="AM137" s="85"/>
      <c r="AN137" s="84"/>
      <c r="AO137" s="85"/>
      <c r="AP137" s="85"/>
      <c r="AQ137" s="84"/>
      <c r="AR137" s="85"/>
      <c r="AS137" s="85"/>
      <c r="AT137" s="85"/>
      <c r="AU137" s="84"/>
      <c r="AV137" s="85"/>
      <c r="AW137" s="84"/>
      <c r="AX137" s="85"/>
      <c r="AY137" s="84"/>
      <c r="AZ137" s="85"/>
      <c r="BA137" s="85"/>
      <c r="BB137" s="86"/>
    </row>
    <row r="138" spans="1:54" x14ac:dyDescent="0.3">
      <c r="A138" s="277" t="s">
        <v>220</v>
      </c>
      <c r="B138" s="261"/>
      <c r="C138" s="263"/>
      <c r="D138" s="84"/>
      <c r="E138" s="85"/>
      <c r="F138" s="85"/>
      <c r="G138" s="85"/>
      <c r="H138" s="85"/>
      <c r="I138" s="85"/>
      <c r="J138" s="85"/>
      <c r="K138" s="85"/>
      <c r="L138" s="85"/>
      <c r="M138" s="85"/>
      <c r="N138" s="85"/>
      <c r="O138" s="85"/>
      <c r="P138" s="85"/>
      <c r="Q138" s="85"/>
      <c r="R138" s="85"/>
      <c r="S138" s="85"/>
      <c r="T138" s="85"/>
      <c r="U138" s="84"/>
      <c r="V138" s="85"/>
      <c r="W138" s="84"/>
      <c r="X138" s="85"/>
      <c r="Y138" s="263"/>
      <c r="Z138" s="263"/>
      <c r="AA138" s="263"/>
      <c r="AB138" s="263"/>
      <c r="AC138" s="263"/>
      <c r="AD138" s="263"/>
      <c r="AE138" s="84"/>
      <c r="AF138" s="85"/>
      <c r="AG138" s="85"/>
      <c r="AH138" s="85"/>
      <c r="AI138" s="85"/>
      <c r="AJ138" s="84"/>
      <c r="AK138" s="85"/>
      <c r="AL138" s="84"/>
      <c r="AM138" s="85"/>
      <c r="AN138" s="84"/>
      <c r="AO138" s="85"/>
      <c r="AP138" s="85"/>
      <c r="AQ138" s="84"/>
      <c r="AR138" s="85"/>
      <c r="AS138" s="85"/>
      <c r="AT138" s="85"/>
      <c r="AU138" s="84"/>
      <c r="AV138" s="85"/>
      <c r="AW138" s="84"/>
      <c r="AX138" s="85"/>
      <c r="AY138" s="84"/>
      <c r="AZ138" s="85"/>
      <c r="BA138" s="85"/>
      <c r="BB138" s="86"/>
    </row>
    <row r="139" spans="1:54" x14ac:dyDescent="0.3">
      <c r="A139" s="259" t="s">
        <v>221</v>
      </c>
      <c r="B139" s="261"/>
      <c r="C139" s="263"/>
      <c r="D139" s="84"/>
      <c r="E139" s="85"/>
      <c r="F139" s="85"/>
      <c r="G139" s="85"/>
      <c r="H139" s="85"/>
      <c r="I139" s="85"/>
      <c r="J139" s="85"/>
      <c r="K139" s="85"/>
      <c r="L139" s="85"/>
      <c r="M139" s="85"/>
      <c r="N139" s="85"/>
      <c r="O139" s="85"/>
      <c r="P139" s="85"/>
      <c r="Q139" s="85"/>
      <c r="R139" s="85"/>
      <c r="S139" s="85"/>
      <c r="T139" s="85"/>
      <c r="U139" s="84"/>
      <c r="V139" s="85"/>
      <c r="W139" s="84"/>
      <c r="X139" s="85"/>
      <c r="Y139" s="263"/>
      <c r="Z139" s="263"/>
      <c r="AA139" s="263"/>
      <c r="AB139" s="263"/>
      <c r="AC139" s="263"/>
      <c r="AD139" s="263"/>
      <c r="AE139" s="84"/>
      <c r="AF139" s="85"/>
      <c r="AG139" s="85"/>
      <c r="AH139" s="85"/>
      <c r="AI139" s="85"/>
      <c r="AJ139" s="84"/>
      <c r="AK139" s="85"/>
      <c r="AL139" s="84"/>
      <c r="AM139" s="85"/>
      <c r="AN139" s="84"/>
      <c r="AO139" s="85"/>
      <c r="AP139" s="85"/>
      <c r="AQ139" s="84"/>
      <c r="AR139" s="85"/>
      <c r="AS139" s="85"/>
      <c r="AT139" s="85"/>
      <c r="AU139" s="84"/>
      <c r="AV139" s="85"/>
      <c r="AW139" s="84"/>
      <c r="AX139" s="85"/>
      <c r="AY139" s="84"/>
      <c r="AZ139" s="85"/>
      <c r="BA139" s="85"/>
      <c r="BB139" s="86"/>
    </row>
    <row r="140" spans="1:54" x14ac:dyDescent="0.3">
      <c r="A140" s="259" t="s">
        <v>222</v>
      </c>
      <c r="B140" s="261"/>
      <c r="C140" s="263"/>
      <c r="D140" s="84"/>
      <c r="E140" s="85"/>
      <c r="F140" s="85"/>
      <c r="G140" s="85"/>
      <c r="H140" s="85"/>
      <c r="I140" s="85"/>
      <c r="J140" s="85"/>
      <c r="K140" s="85"/>
      <c r="L140" s="85"/>
      <c r="M140" s="85"/>
      <c r="N140" s="85"/>
      <c r="O140" s="85"/>
      <c r="P140" s="85"/>
      <c r="Q140" s="85"/>
      <c r="R140" s="85"/>
      <c r="S140" s="85"/>
      <c r="T140" s="85"/>
      <c r="U140" s="84"/>
      <c r="V140" s="85"/>
      <c r="W140" s="84"/>
      <c r="X140" s="85"/>
      <c r="Y140" s="263"/>
      <c r="Z140" s="263"/>
      <c r="AA140" s="263"/>
      <c r="AB140" s="263"/>
      <c r="AC140" s="263"/>
      <c r="AD140" s="263"/>
      <c r="AE140" s="84"/>
      <c r="AF140" s="85"/>
      <c r="AG140" s="85"/>
      <c r="AH140" s="85"/>
      <c r="AI140" s="85"/>
      <c r="AJ140" s="84"/>
      <c r="AK140" s="85"/>
      <c r="AL140" s="84"/>
      <c r="AM140" s="85"/>
      <c r="AN140" s="84"/>
      <c r="AO140" s="85"/>
      <c r="AP140" s="85"/>
      <c r="AQ140" s="84"/>
      <c r="AR140" s="85"/>
      <c r="AS140" s="85"/>
      <c r="AT140" s="85"/>
      <c r="AU140" s="84"/>
      <c r="AV140" s="85"/>
      <c r="AW140" s="84"/>
      <c r="AX140" s="85"/>
      <c r="AY140" s="84"/>
      <c r="AZ140" s="85"/>
      <c r="BA140" s="85"/>
      <c r="BB140" s="86"/>
    </row>
    <row r="141" spans="1:54" x14ac:dyDescent="0.3">
      <c r="A141" s="264" t="s">
        <v>223</v>
      </c>
      <c r="B141" s="261"/>
      <c r="C141" s="263"/>
      <c r="D141" s="84"/>
      <c r="E141" s="85"/>
      <c r="F141" s="85"/>
      <c r="G141" s="85"/>
      <c r="H141" s="85"/>
      <c r="I141" s="85"/>
      <c r="J141" s="85"/>
      <c r="K141" s="85"/>
      <c r="L141" s="85"/>
      <c r="M141" s="85"/>
      <c r="N141" s="85"/>
      <c r="O141" s="85"/>
      <c r="P141" s="85"/>
      <c r="Q141" s="85"/>
      <c r="R141" s="85"/>
      <c r="S141" s="85"/>
      <c r="T141" s="85"/>
      <c r="U141" s="84"/>
      <c r="V141" s="85"/>
      <c r="W141" s="84"/>
      <c r="X141" s="85"/>
      <c r="Y141" s="263"/>
      <c r="Z141" s="263"/>
      <c r="AA141" s="263"/>
      <c r="AB141" s="263"/>
      <c r="AC141" s="263"/>
      <c r="AD141" s="263"/>
      <c r="AE141" s="84"/>
      <c r="AF141" s="85"/>
      <c r="AG141" s="85"/>
      <c r="AH141" s="85"/>
      <c r="AI141" s="85"/>
      <c r="AJ141" s="84"/>
      <c r="AK141" s="85"/>
      <c r="AL141" s="84"/>
      <c r="AM141" s="85"/>
      <c r="AN141" s="84"/>
      <c r="AO141" s="85"/>
      <c r="AP141" s="85"/>
      <c r="AQ141" s="84"/>
      <c r="AR141" s="85"/>
      <c r="AS141" s="85"/>
      <c r="AT141" s="85"/>
      <c r="AU141" s="84"/>
      <c r="AV141" s="85"/>
      <c r="AW141" s="84"/>
      <c r="AX141" s="85"/>
      <c r="AY141" s="84"/>
      <c r="AZ141" s="85"/>
      <c r="BA141" s="85"/>
      <c r="BB141" s="86"/>
    </row>
    <row r="142" spans="1:54" x14ac:dyDescent="0.3">
      <c r="A142" s="259" t="s">
        <v>224</v>
      </c>
      <c r="B142" s="261"/>
      <c r="C142" s="263"/>
      <c r="D142" s="84"/>
      <c r="E142" s="85"/>
      <c r="F142" s="85"/>
      <c r="G142" s="85"/>
      <c r="H142" s="85"/>
      <c r="I142" s="85"/>
      <c r="J142" s="85"/>
      <c r="K142" s="85"/>
      <c r="L142" s="85"/>
      <c r="M142" s="85"/>
      <c r="N142" s="85"/>
      <c r="O142" s="85"/>
      <c r="P142" s="85"/>
      <c r="Q142" s="85"/>
      <c r="R142" s="85"/>
      <c r="S142" s="85"/>
      <c r="T142" s="85"/>
      <c r="U142" s="84"/>
      <c r="V142" s="85"/>
      <c r="W142" s="84"/>
      <c r="X142" s="85"/>
      <c r="Y142" s="263"/>
      <c r="Z142" s="263"/>
      <c r="AA142" s="263"/>
      <c r="AB142" s="263"/>
      <c r="AC142" s="263"/>
      <c r="AD142" s="263"/>
      <c r="AE142" s="84"/>
      <c r="AF142" s="85"/>
      <c r="AG142" s="85"/>
      <c r="AH142" s="85"/>
      <c r="AI142" s="85"/>
      <c r="AJ142" s="84"/>
      <c r="AK142" s="85"/>
      <c r="AL142" s="84"/>
      <c r="AM142" s="85"/>
      <c r="AN142" s="84"/>
      <c r="AO142" s="85"/>
      <c r="AP142" s="85"/>
      <c r="AQ142" s="84"/>
      <c r="AR142" s="85"/>
      <c r="AS142" s="85"/>
      <c r="AT142" s="85"/>
      <c r="AU142" s="84"/>
      <c r="AV142" s="85"/>
      <c r="AW142" s="84"/>
      <c r="AX142" s="85"/>
      <c r="AY142" s="84"/>
      <c r="AZ142" s="85"/>
      <c r="BA142" s="85"/>
      <c r="BB142" s="86"/>
    </row>
    <row r="143" spans="1:54" x14ac:dyDescent="0.3">
      <c r="A143" s="329" t="s">
        <v>235</v>
      </c>
      <c r="B143" s="261"/>
      <c r="C143" s="263"/>
      <c r="D143" s="84"/>
      <c r="E143" s="85"/>
      <c r="F143" s="85"/>
      <c r="G143" s="85"/>
      <c r="H143" s="85"/>
      <c r="I143" s="85"/>
      <c r="J143" s="85"/>
      <c r="K143" s="85"/>
      <c r="L143" s="85"/>
      <c r="M143" s="85"/>
      <c r="N143" s="85"/>
      <c r="O143" s="85"/>
      <c r="P143" s="85"/>
      <c r="Q143" s="85"/>
      <c r="R143" s="85"/>
      <c r="S143" s="85"/>
      <c r="T143" s="85"/>
      <c r="U143" s="84"/>
      <c r="V143" s="85"/>
      <c r="W143" s="84"/>
      <c r="X143" s="85"/>
      <c r="Y143" s="263"/>
      <c r="Z143" s="263"/>
      <c r="AA143" s="263"/>
      <c r="AB143" s="263"/>
      <c r="AC143" s="263"/>
      <c r="AD143" s="263"/>
      <c r="AE143" s="84"/>
      <c r="AF143" s="85"/>
      <c r="AG143" s="85"/>
      <c r="AH143" s="85"/>
      <c r="AI143" s="85"/>
      <c r="AJ143" s="84"/>
      <c r="AK143" s="85"/>
      <c r="AL143" s="84"/>
      <c r="AM143" s="85"/>
      <c r="AN143" s="84"/>
      <c r="AO143" s="85"/>
      <c r="AP143" s="85"/>
      <c r="AQ143" s="84"/>
      <c r="AR143" s="85"/>
      <c r="AS143" s="85"/>
      <c r="AT143" s="85"/>
      <c r="AU143" s="84"/>
      <c r="AV143" s="85"/>
      <c r="AW143" s="84"/>
      <c r="AX143" s="85"/>
      <c r="AY143" s="84"/>
      <c r="AZ143" s="85"/>
      <c r="BA143" s="85"/>
      <c r="BB143" s="86"/>
    </row>
    <row r="144" spans="1:54" x14ac:dyDescent="0.3">
      <c r="A144" s="265" t="s">
        <v>148</v>
      </c>
      <c r="B144" s="266"/>
      <c r="C144" s="266"/>
      <c r="D144" s="87"/>
      <c r="E144" s="88"/>
      <c r="F144" s="88"/>
      <c r="G144" s="88"/>
      <c r="H144" s="88"/>
      <c r="I144" s="88"/>
      <c r="J144" s="88"/>
      <c r="K144" s="88"/>
      <c r="L144" s="88"/>
      <c r="M144" s="88"/>
      <c r="N144" s="88"/>
      <c r="O144" s="88"/>
      <c r="P144" s="88"/>
      <c r="Q144" s="88"/>
      <c r="R144" s="88"/>
      <c r="S144" s="88"/>
      <c r="T144" s="88"/>
      <c r="U144" s="87"/>
      <c r="V144" s="88"/>
      <c r="W144" s="87"/>
      <c r="X144" s="88"/>
      <c r="Y144" s="266"/>
      <c r="Z144" s="266"/>
      <c r="AA144" s="266"/>
      <c r="AB144" s="266"/>
      <c r="AC144" s="266"/>
      <c r="AD144" s="266"/>
      <c r="AE144" s="87"/>
      <c r="AF144" s="88"/>
      <c r="AG144" s="88"/>
      <c r="AH144" s="88"/>
      <c r="AI144" s="88"/>
      <c r="AJ144" s="87"/>
      <c r="AK144" s="88"/>
      <c r="AL144" s="87"/>
      <c r="AM144" s="88"/>
      <c r="AN144" s="87"/>
      <c r="AO144" s="88"/>
      <c r="AP144" s="88"/>
      <c r="AQ144" s="87"/>
      <c r="AR144" s="88"/>
      <c r="AS144" s="88"/>
      <c r="AT144" s="88"/>
      <c r="AU144" s="87"/>
      <c r="AV144" s="88"/>
      <c r="AW144" s="87"/>
      <c r="AX144" s="88"/>
      <c r="AY144" s="87"/>
      <c r="AZ144" s="88"/>
      <c r="BA144" s="88"/>
      <c r="BB144" s="89"/>
    </row>
    <row r="145" spans="1:54" x14ac:dyDescent="0.3">
      <c r="A145" s="259" t="s">
        <v>177</v>
      </c>
      <c r="B145" s="263"/>
      <c r="C145" s="263"/>
      <c r="D145" s="84"/>
      <c r="E145" s="85"/>
      <c r="F145" s="85"/>
      <c r="G145" s="85"/>
      <c r="H145" s="85"/>
      <c r="I145" s="85"/>
      <c r="J145" s="85"/>
      <c r="K145" s="85"/>
      <c r="L145" s="85"/>
      <c r="M145" s="85"/>
      <c r="N145" s="85"/>
      <c r="O145" s="85"/>
      <c r="P145" s="85"/>
      <c r="Q145" s="85"/>
      <c r="R145" s="85"/>
      <c r="S145" s="85"/>
      <c r="T145" s="85"/>
      <c r="U145" s="84"/>
      <c r="V145" s="85"/>
      <c r="W145" s="84"/>
      <c r="X145" s="85"/>
      <c r="Y145" s="263"/>
      <c r="Z145" s="263"/>
      <c r="AA145" s="263"/>
      <c r="AB145" s="263"/>
      <c r="AC145" s="263"/>
      <c r="AD145" s="263"/>
      <c r="AE145" s="84"/>
      <c r="AF145" s="85"/>
      <c r="AG145" s="85"/>
      <c r="AH145" s="85"/>
      <c r="AI145" s="85"/>
      <c r="AJ145" s="84"/>
      <c r="AK145" s="85"/>
      <c r="AL145" s="84"/>
      <c r="AM145" s="85"/>
      <c r="AN145" s="84"/>
      <c r="AO145" s="85"/>
      <c r="AP145" s="85"/>
      <c r="AQ145" s="84"/>
      <c r="AR145" s="85"/>
      <c r="AS145" s="85"/>
      <c r="AT145" s="85"/>
      <c r="AU145" s="84"/>
      <c r="AV145" s="85"/>
      <c r="AW145" s="84"/>
      <c r="AX145" s="85"/>
      <c r="AY145" s="84"/>
      <c r="AZ145" s="85"/>
      <c r="BA145" s="85"/>
      <c r="BB145" s="86"/>
    </row>
    <row r="146" spans="1:54" x14ac:dyDescent="0.3">
      <c r="A146" s="267" t="s">
        <v>161</v>
      </c>
      <c r="B146" s="266"/>
      <c r="C146" s="266"/>
      <c r="D146" s="87"/>
      <c r="E146" s="88"/>
      <c r="F146" s="88"/>
      <c r="G146" s="88"/>
      <c r="H146" s="88"/>
      <c r="I146" s="88"/>
      <c r="J146" s="88"/>
      <c r="K146" s="88"/>
      <c r="L146" s="88"/>
      <c r="M146" s="88"/>
      <c r="N146" s="88"/>
      <c r="O146" s="88"/>
      <c r="P146" s="88"/>
      <c r="Q146" s="88"/>
      <c r="R146" s="88"/>
      <c r="S146" s="88"/>
      <c r="T146" s="88"/>
      <c r="U146" s="87"/>
      <c r="V146" s="88"/>
      <c r="W146" s="87"/>
      <c r="X146" s="88"/>
      <c r="Y146" s="266"/>
      <c r="Z146" s="266"/>
      <c r="AA146" s="266"/>
      <c r="AB146" s="266"/>
      <c r="AC146" s="266"/>
      <c r="AD146" s="266"/>
      <c r="AE146" s="87"/>
      <c r="AF146" s="88"/>
      <c r="AG146" s="88"/>
      <c r="AH146" s="88"/>
      <c r="AI146" s="88"/>
      <c r="AJ146" s="87"/>
      <c r="AK146" s="88"/>
      <c r="AL146" s="87"/>
      <c r="AM146" s="88"/>
      <c r="AN146" s="87"/>
      <c r="AO146" s="88"/>
      <c r="AP146" s="88"/>
      <c r="AQ146" s="87"/>
      <c r="AR146" s="88"/>
      <c r="AS146" s="88"/>
      <c r="AT146" s="88"/>
      <c r="AU146" s="87"/>
      <c r="AV146" s="88"/>
      <c r="AW146" s="87"/>
      <c r="AX146" s="88"/>
      <c r="AY146" s="87"/>
      <c r="AZ146" s="88"/>
      <c r="BA146" s="88"/>
      <c r="BB146" s="89"/>
    </row>
    <row r="147" spans="1:54" s="282" customFormat="1" x14ac:dyDescent="0.3">
      <c r="A147" s="268" t="s">
        <v>170</v>
      </c>
      <c r="B147" s="269"/>
      <c r="C147" s="269"/>
      <c r="D147" s="144"/>
      <c r="E147" s="145"/>
      <c r="F147" s="144"/>
      <c r="G147" s="145"/>
      <c r="H147" s="144"/>
      <c r="I147" s="145"/>
      <c r="J147" s="145"/>
      <c r="K147" s="145"/>
      <c r="L147" s="145"/>
      <c r="M147" s="145"/>
      <c r="N147" s="145"/>
      <c r="O147" s="145"/>
      <c r="P147" s="145"/>
      <c r="Q147" s="144"/>
      <c r="R147" s="145"/>
      <c r="S147" s="145"/>
      <c r="T147" s="145"/>
      <c r="U147" s="144"/>
      <c r="V147" s="145"/>
      <c r="W147" s="144"/>
      <c r="X147" s="145"/>
      <c r="Y147" s="269"/>
      <c r="Z147" s="269"/>
      <c r="AA147" s="269"/>
      <c r="AB147" s="269"/>
      <c r="AC147" s="269"/>
      <c r="AD147" s="269"/>
      <c r="AE147" s="144"/>
      <c r="AF147" s="145"/>
      <c r="AG147" s="145"/>
      <c r="AH147" s="145"/>
      <c r="AI147" s="145"/>
      <c r="AJ147" s="144"/>
      <c r="AK147" s="145"/>
      <c r="AL147" s="144"/>
      <c r="AM147" s="145"/>
      <c r="AN147" s="144"/>
      <c r="AO147" s="145"/>
      <c r="AP147" s="145"/>
      <c r="AQ147" s="144"/>
      <c r="AR147" s="145"/>
      <c r="AS147" s="145"/>
      <c r="AT147" s="145"/>
      <c r="AU147" s="144"/>
      <c r="AV147" s="145"/>
      <c r="AW147" s="144"/>
      <c r="AX147" s="145"/>
      <c r="AY147" s="144"/>
      <c r="AZ147" s="145"/>
      <c r="BA147" s="145"/>
      <c r="BB147" s="146"/>
    </row>
    <row r="148" spans="1:54" s="282" customFormat="1" x14ac:dyDescent="0.3">
      <c r="A148" s="270" t="s">
        <v>171</v>
      </c>
      <c r="B148" s="269"/>
      <c r="C148" s="269"/>
      <c r="D148" s="144"/>
      <c r="E148" s="145"/>
      <c r="F148" s="144"/>
      <c r="G148" s="145"/>
      <c r="H148" s="144"/>
      <c r="I148" s="145"/>
      <c r="J148" s="145"/>
      <c r="K148" s="145"/>
      <c r="L148" s="145"/>
      <c r="M148" s="145"/>
      <c r="N148" s="145"/>
      <c r="O148" s="145"/>
      <c r="P148" s="145"/>
      <c r="Q148" s="144"/>
      <c r="R148" s="145"/>
      <c r="S148" s="145"/>
      <c r="T148" s="145"/>
      <c r="U148" s="144"/>
      <c r="V148" s="145"/>
      <c r="W148" s="144"/>
      <c r="X148" s="145"/>
      <c r="Y148" s="269"/>
      <c r="Z148" s="269"/>
      <c r="AA148" s="269"/>
      <c r="AB148" s="269"/>
      <c r="AC148" s="269"/>
      <c r="AD148" s="269"/>
      <c r="AE148" s="144"/>
      <c r="AF148" s="145"/>
      <c r="AG148" s="145"/>
      <c r="AH148" s="145"/>
      <c r="AI148" s="145"/>
      <c r="AJ148" s="144"/>
      <c r="AK148" s="145"/>
      <c r="AL148" s="144"/>
      <c r="AM148" s="145"/>
      <c r="AN148" s="144"/>
      <c r="AO148" s="145"/>
      <c r="AP148" s="145"/>
      <c r="AQ148" s="144"/>
      <c r="AR148" s="145"/>
      <c r="AS148" s="145"/>
      <c r="AT148" s="145"/>
      <c r="AU148" s="144"/>
      <c r="AV148" s="145"/>
      <c r="AW148" s="144"/>
      <c r="AX148" s="145"/>
      <c r="AY148" s="144"/>
      <c r="AZ148" s="145"/>
      <c r="BA148" s="145"/>
      <c r="BB148" s="146"/>
    </row>
    <row r="149" spans="1:54" s="282" customFormat="1" x14ac:dyDescent="0.3">
      <c r="A149" s="283" t="s">
        <v>239</v>
      </c>
      <c r="B149" s="269"/>
      <c r="C149" s="269"/>
      <c r="D149" s="144"/>
      <c r="E149" s="145"/>
      <c r="F149" s="144"/>
      <c r="G149" s="145"/>
      <c r="H149" s="144"/>
      <c r="I149" s="145"/>
      <c r="J149" s="145"/>
      <c r="K149" s="145"/>
      <c r="L149" s="145"/>
      <c r="M149" s="145"/>
      <c r="N149" s="145"/>
      <c r="O149" s="145"/>
      <c r="P149" s="145"/>
      <c r="Q149" s="144"/>
      <c r="R149" s="145"/>
      <c r="S149" s="145"/>
      <c r="T149" s="145"/>
      <c r="U149" s="144"/>
      <c r="V149" s="145"/>
      <c r="W149" s="144"/>
      <c r="X149" s="145"/>
      <c r="Y149" s="269"/>
      <c r="Z149" s="269"/>
      <c r="AA149" s="269"/>
      <c r="AB149" s="269"/>
      <c r="AC149" s="269"/>
      <c r="AD149" s="269"/>
      <c r="AE149" s="144"/>
      <c r="AF149" s="145"/>
      <c r="AG149" s="145"/>
      <c r="AH149" s="145"/>
      <c r="AI149" s="145"/>
      <c r="AJ149" s="144"/>
      <c r="AK149" s="145"/>
      <c r="AL149" s="144"/>
      <c r="AM149" s="145"/>
      <c r="AN149" s="144"/>
      <c r="AO149" s="145"/>
      <c r="AP149" s="145"/>
      <c r="AQ149" s="144"/>
      <c r="AR149" s="145"/>
      <c r="AS149" s="145"/>
      <c r="AT149" s="145"/>
      <c r="AU149" s="144"/>
      <c r="AV149" s="145"/>
      <c r="AW149" s="144"/>
      <c r="AX149" s="145"/>
      <c r="AY149" s="144"/>
      <c r="AZ149" s="145"/>
      <c r="BA149" s="145"/>
      <c r="BB149" s="146"/>
    </row>
    <row r="150" spans="1:54" s="289" customFormat="1" x14ac:dyDescent="0.3">
      <c r="A150" s="284" t="s">
        <v>236</v>
      </c>
      <c r="B150" s="285"/>
      <c r="C150" s="285"/>
      <c r="D150" s="286"/>
      <c r="E150" s="287"/>
      <c r="F150" s="286"/>
      <c r="G150" s="287"/>
      <c r="H150" s="286"/>
      <c r="I150" s="287"/>
      <c r="J150" s="287"/>
      <c r="K150" s="287"/>
      <c r="L150" s="287"/>
      <c r="M150" s="287"/>
      <c r="N150" s="287"/>
      <c r="O150" s="287"/>
      <c r="P150" s="287"/>
      <c r="Q150" s="286"/>
      <c r="R150" s="287"/>
      <c r="S150" s="287"/>
      <c r="T150" s="287"/>
      <c r="U150" s="286"/>
      <c r="V150" s="287"/>
      <c r="W150" s="286"/>
      <c r="X150" s="287"/>
      <c r="Y150" s="285"/>
      <c r="Z150" s="285"/>
      <c r="AA150" s="285"/>
      <c r="AB150" s="285"/>
      <c r="AC150" s="285"/>
      <c r="AD150" s="285"/>
      <c r="AE150" s="286"/>
      <c r="AF150" s="287"/>
      <c r="AG150" s="287"/>
      <c r="AH150" s="287"/>
      <c r="AI150" s="287"/>
      <c r="AJ150" s="286"/>
      <c r="AK150" s="287"/>
      <c r="AL150" s="286"/>
      <c r="AM150" s="287"/>
      <c r="AN150" s="286"/>
      <c r="AO150" s="287"/>
      <c r="AP150" s="287"/>
      <c r="AQ150" s="286"/>
      <c r="AR150" s="287"/>
      <c r="AS150" s="287"/>
      <c r="AT150" s="287"/>
      <c r="AU150" s="286"/>
      <c r="AV150" s="287"/>
      <c r="AW150" s="286"/>
      <c r="AX150" s="287"/>
      <c r="AY150" s="286"/>
      <c r="AZ150" s="287"/>
      <c r="BA150" s="287"/>
      <c r="BB150" s="288"/>
    </row>
    <row r="151" spans="1:54" s="282" customFormat="1" x14ac:dyDescent="0.3">
      <c r="A151" s="290" t="s">
        <v>225</v>
      </c>
      <c r="B151" s="269"/>
      <c r="C151" s="269"/>
      <c r="D151" s="144"/>
      <c r="E151" s="145"/>
      <c r="F151" s="144"/>
      <c r="G151" s="145"/>
      <c r="H151" s="144"/>
      <c r="I151" s="145"/>
      <c r="J151" s="145"/>
      <c r="K151" s="145"/>
      <c r="L151" s="145"/>
      <c r="M151" s="145"/>
      <c r="N151" s="145"/>
      <c r="O151" s="145"/>
      <c r="P151" s="145"/>
      <c r="Q151" s="144"/>
      <c r="R151" s="145"/>
      <c r="S151" s="145"/>
      <c r="T151" s="145"/>
      <c r="U151" s="144"/>
      <c r="V151" s="145"/>
      <c r="W151" s="144"/>
      <c r="X151" s="145"/>
      <c r="Y151" s="269"/>
      <c r="Z151" s="269"/>
      <c r="AA151" s="269"/>
      <c r="AB151" s="269"/>
      <c r="AC151" s="269"/>
      <c r="AD151" s="269"/>
      <c r="AE151" s="144"/>
      <c r="AF151" s="145"/>
      <c r="AG151" s="145"/>
      <c r="AH151" s="145"/>
      <c r="AI151" s="145"/>
      <c r="AJ151" s="144"/>
      <c r="AK151" s="145"/>
      <c r="AL151" s="144"/>
      <c r="AM151" s="145"/>
      <c r="AN151" s="144"/>
      <c r="AO151" s="145"/>
      <c r="AP151" s="145"/>
      <c r="AQ151" s="144"/>
      <c r="AR151" s="145"/>
      <c r="AS151" s="145"/>
      <c r="AT151" s="145"/>
      <c r="AU151" s="144"/>
      <c r="AV151" s="145"/>
      <c r="AW151" s="144"/>
      <c r="AX151" s="145"/>
      <c r="AY151" s="144"/>
      <c r="AZ151" s="145"/>
      <c r="BA151" s="145"/>
      <c r="BB151" s="146"/>
    </row>
    <row r="152" spans="1:54" s="291" customFormat="1" x14ac:dyDescent="0.3">
      <c r="A152" s="265"/>
      <c r="B152" s="266"/>
      <c r="C152" s="266"/>
      <c r="D152" s="87"/>
      <c r="E152" s="88"/>
      <c r="F152" s="87"/>
      <c r="G152" s="88"/>
      <c r="H152" s="87"/>
      <c r="I152" s="88"/>
      <c r="J152" s="88"/>
      <c r="K152" s="88"/>
      <c r="L152" s="88"/>
      <c r="M152" s="88"/>
      <c r="N152" s="88"/>
      <c r="O152" s="88"/>
      <c r="P152" s="88"/>
      <c r="Q152" s="87"/>
      <c r="R152" s="88"/>
      <c r="S152" s="88"/>
      <c r="T152" s="88"/>
      <c r="U152" s="87"/>
      <c r="V152" s="88"/>
      <c r="W152" s="87"/>
      <c r="X152" s="88"/>
      <c r="Y152" s="266"/>
      <c r="Z152" s="266"/>
      <c r="AA152" s="266"/>
      <c r="AB152" s="266"/>
      <c r="AC152" s="266"/>
      <c r="AD152" s="266"/>
      <c r="AE152" s="87"/>
      <c r="AF152" s="88"/>
      <c r="AG152" s="88"/>
      <c r="AH152" s="88"/>
      <c r="AI152" s="88"/>
      <c r="AJ152" s="87"/>
      <c r="AK152" s="88"/>
      <c r="AL152" s="87"/>
      <c r="AM152" s="88"/>
      <c r="AN152" s="87"/>
      <c r="AO152" s="88"/>
      <c r="AP152" s="88"/>
      <c r="AQ152" s="87"/>
      <c r="AR152" s="88"/>
      <c r="AS152" s="88"/>
      <c r="AT152" s="88"/>
      <c r="AU152" s="87"/>
      <c r="AV152" s="88"/>
      <c r="AW152" s="87"/>
      <c r="AX152" s="88"/>
      <c r="AY152" s="87"/>
      <c r="AZ152" s="88"/>
      <c r="BA152" s="88"/>
      <c r="BB152" s="89"/>
    </row>
    <row r="153" spans="1:54" s="291" customFormat="1" x14ac:dyDescent="0.3">
      <c r="A153" s="305" t="s">
        <v>66</v>
      </c>
      <c r="B153" s="306"/>
      <c r="C153" s="307"/>
      <c r="D153" s="308"/>
      <c r="E153" s="309"/>
      <c r="F153" s="308"/>
      <c r="G153" s="309"/>
      <c r="H153" s="308"/>
      <c r="I153" s="309"/>
      <c r="J153" s="309"/>
      <c r="K153" s="309"/>
      <c r="L153" s="309"/>
      <c r="M153" s="309"/>
      <c r="N153" s="309"/>
      <c r="O153" s="309"/>
      <c r="P153" s="309"/>
      <c r="Q153" s="308"/>
      <c r="R153" s="309"/>
      <c r="S153" s="309"/>
      <c r="T153" s="309"/>
      <c r="U153" s="308"/>
      <c r="V153" s="309"/>
      <c r="W153" s="308"/>
      <c r="X153" s="309"/>
      <c r="Y153" s="306"/>
      <c r="Z153" s="306"/>
      <c r="AA153" s="306"/>
      <c r="AB153" s="306"/>
      <c r="AC153" s="306"/>
      <c r="AD153" s="306"/>
      <c r="AE153" s="308"/>
      <c r="AF153" s="309"/>
      <c r="AG153" s="309"/>
      <c r="AH153" s="309"/>
      <c r="AI153" s="309"/>
      <c r="AJ153" s="308"/>
      <c r="AK153" s="309"/>
      <c r="AL153" s="308"/>
      <c r="AM153" s="309"/>
      <c r="AN153" s="308"/>
      <c r="AO153" s="309"/>
      <c r="AP153" s="309"/>
      <c r="AQ153" s="308"/>
      <c r="AR153" s="309"/>
      <c r="AS153" s="309"/>
      <c r="AT153" s="309"/>
      <c r="AU153" s="308"/>
      <c r="AV153" s="309"/>
      <c r="AW153" s="308"/>
      <c r="AX153" s="309"/>
      <c r="AY153" s="308"/>
      <c r="AZ153" s="309"/>
      <c r="BA153" s="309"/>
      <c r="BB153" s="310"/>
    </row>
    <row r="154" spans="1:54" x14ac:dyDescent="0.3">
      <c r="A154" s="311" t="s">
        <v>69</v>
      </c>
      <c r="B154" s="312"/>
      <c r="C154" s="312"/>
      <c r="D154" s="312"/>
      <c r="E154" s="312"/>
      <c r="F154" s="313"/>
      <c r="G154" s="312"/>
      <c r="H154" s="313"/>
      <c r="I154" s="312"/>
      <c r="J154" s="312"/>
      <c r="K154" s="312"/>
      <c r="L154" s="312"/>
      <c r="M154" s="312"/>
      <c r="N154" s="312"/>
      <c r="O154" s="312"/>
      <c r="P154" s="312"/>
      <c r="Q154" s="313"/>
      <c r="R154" s="312"/>
      <c r="S154" s="312"/>
      <c r="T154" s="312"/>
      <c r="U154" s="312"/>
      <c r="V154" s="312"/>
      <c r="W154" s="312"/>
      <c r="X154" s="312"/>
      <c r="Y154" s="312"/>
      <c r="Z154" s="312"/>
      <c r="AA154" s="312"/>
      <c r="AB154" s="312"/>
      <c r="AC154" s="312"/>
      <c r="AD154" s="312"/>
      <c r="AE154" s="312"/>
      <c r="AF154" s="312"/>
      <c r="AG154" s="312"/>
      <c r="AH154" s="312"/>
      <c r="AI154" s="312"/>
      <c r="AJ154" s="314"/>
      <c r="AK154" s="312"/>
      <c r="AL154" s="314"/>
      <c r="AM154" s="312"/>
      <c r="AN154" s="313"/>
      <c r="AO154" s="312"/>
      <c r="AP154" s="312"/>
      <c r="AQ154" s="313"/>
      <c r="AR154" s="312"/>
      <c r="AS154" s="312"/>
      <c r="AT154" s="312"/>
      <c r="AU154" s="313"/>
      <c r="AV154" s="312"/>
      <c r="AW154" s="315"/>
      <c r="AX154" s="312"/>
      <c r="AY154" s="313"/>
      <c r="AZ154" s="316"/>
      <c r="BA154" s="312"/>
      <c r="BB154" s="317"/>
    </row>
    <row r="155" spans="1:54" x14ac:dyDescent="0.3">
      <c r="A155" s="318"/>
      <c r="B155" s="319"/>
      <c r="C155" s="320"/>
      <c r="D155" s="321"/>
      <c r="E155" s="322"/>
      <c r="F155" s="321"/>
      <c r="G155" s="322"/>
      <c r="H155" s="321"/>
      <c r="I155" s="322"/>
      <c r="J155" s="322"/>
      <c r="K155" s="322"/>
      <c r="L155" s="322"/>
      <c r="M155" s="322"/>
      <c r="N155" s="322"/>
      <c r="O155" s="322"/>
      <c r="P155" s="322"/>
      <c r="Q155" s="321"/>
      <c r="R155" s="322"/>
      <c r="S155" s="322"/>
      <c r="T155" s="322"/>
      <c r="U155" s="321"/>
      <c r="V155" s="322"/>
      <c r="W155" s="321"/>
      <c r="X155" s="322"/>
      <c r="Y155" s="319"/>
      <c r="Z155" s="319"/>
      <c r="AA155" s="319"/>
      <c r="AB155" s="319"/>
      <c r="AC155" s="319"/>
      <c r="AD155" s="319"/>
      <c r="AE155" s="321"/>
      <c r="AF155" s="322"/>
      <c r="AG155" s="322"/>
      <c r="AH155" s="322"/>
      <c r="AI155" s="322"/>
      <c r="AJ155" s="321"/>
      <c r="AK155" s="322"/>
      <c r="AL155" s="321"/>
      <c r="AM155" s="322"/>
      <c r="AN155" s="321"/>
      <c r="AO155" s="322"/>
      <c r="AP155" s="322"/>
      <c r="AQ155" s="321"/>
      <c r="AR155" s="322"/>
      <c r="AS155" s="322"/>
      <c r="AT155" s="322"/>
      <c r="AU155" s="321"/>
      <c r="AV155" s="322"/>
      <c r="AW155" s="321"/>
      <c r="AX155" s="322"/>
      <c r="AY155" s="321"/>
      <c r="AZ155" s="322"/>
      <c r="BA155" s="322"/>
      <c r="BB155" s="323"/>
    </row>
    <row r="156" spans="1:54" x14ac:dyDescent="0.3">
      <c r="A156" s="90" t="s">
        <v>71</v>
      </c>
      <c r="B156" s="91"/>
      <c r="C156" s="92"/>
      <c r="D156" s="93"/>
      <c r="E156" s="94"/>
      <c r="F156" s="93"/>
      <c r="G156" s="94"/>
      <c r="H156" s="93"/>
      <c r="I156" s="94"/>
      <c r="J156" s="94"/>
      <c r="K156" s="94"/>
      <c r="L156" s="94"/>
      <c r="M156" s="94"/>
      <c r="N156" s="94"/>
      <c r="O156" s="94"/>
      <c r="P156" s="94"/>
      <c r="Q156" s="93"/>
      <c r="R156" s="94"/>
      <c r="S156" s="94"/>
      <c r="T156" s="94"/>
      <c r="U156" s="93"/>
      <c r="V156" s="94"/>
      <c r="W156" s="93"/>
      <c r="X156" s="94"/>
      <c r="Y156" s="91"/>
      <c r="Z156" s="91"/>
      <c r="AA156" s="91"/>
      <c r="AB156" s="91"/>
      <c r="AC156" s="91"/>
      <c r="AD156" s="91"/>
      <c r="AE156" s="93"/>
      <c r="AF156" s="94"/>
      <c r="AG156" s="94"/>
      <c r="AH156" s="94"/>
      <c r="AI156" s="94"/>
      <c r="AJ156" s="93"/>
      <c r="AK156" s="94"/>
      <c r="AL156" s="93"/>
      <c r="AM156" s="94"/>
      <c r="AN156" s="93"/>
      <c r="AO156" s="94"/>
      <c r="AP156" s="94"/>
      <c r="AQ156" s="93"/>
      <c r="AR156" s="94"/>
      <c r="AS156" s="94"/>
      <c r="AT156" s="94"/>
      <c r="AU156" s="93"/>
      <c r="AV156" s="94"/>
      <c r="AW156" s="93"/>
      <c r="AX156" s="94"/>
      <c r="AY156" s="93"/>
      <c r="AZ156" s="94"/>
      <c r="BA156" s="94"/>
      <c r="BB156" s="95"/>
    </row>
    <row r="157" spans="1:54" x14ac:dyDescent="0.3">
      <c r="A157" s="271" t="s">
        <v>72</v>
      </c>
      <c r="B157" s="272"/>
      <c r="C157" s="272"/>
      <c r="D157" s="272"/>
      <c r="E157" s="272"/>
      <c r="F157" s="105"/>
      <c r="G157" s="272"/>
      <c r="H157" s="105"/>
      <c r="I157" s="272"/>
      <c r="J157" s="272"/>
      <c r="K157" s="272"/>
      <c r="L157" s="272"/>
      <c r="M157" s="272"/>
      <c r="N157" s="272"/>
      <c r="O157" s="272"/>
      <c r="P157" s="272"/>
      <c r="Q157" s="105"/>
      <c r="R157" s="272"/>
      <c r="S157" s="272"/>
      <c r="T157" s="272"/>
      <c r="U157" s="272"/>
      <c r="V157" s="272"/>
      <c r="W157" s="272"/>
      <c r="X157" s="272"/>
      <c r="Y157" s="272"/>
      <c r="Z157" s="272"/>
      <c r="AA157" s="272"/>
      <c r="AB157" s="272"/>
      <c r="AC157" s="272"/>
      <c r="AD157" s="272"/>
      <c r="AE157" s="272"/>
      <c r="AF157" s="272"/>
      <c r="AG157" s="272"/>
      <c r="AH157" s="272"/>
      <c r="AI157" s="272"/>
      <c r="AJ157" s="273"/>
      <c r="AK157" s="272"/>
      <c r="AL157" s="273"/>
      <c r="AM157" s="272"/>
      <c r="AN157" s="105"/>
      <c r="AO157" s="272"/>
      <c r="AP157" s="272"/>
      <c r="AQ157" s="105"/>
      <c r="AR157" s="272"/>
      <c r="AS157" s="272"/>
      <c r="AT157" s="272"/>
      <c r="AU157" s="105"/>
      <c r="AV157" s="272"/>
      <c r="AW157" s="304"/>
      <c r="AX157" s="272"/>
      <c r="AY157" s="105"/>
      <c r="AZ157" s="183"/>
      <c r="BA157" s="272"/>
      <c r="BB157" s="96"/>
    </row>
    <row r="158" spans="1:54" x14ac:dyDescent="0.3">
      <c r="A158" s="271" t="s">
        <v>73</v>
      </c>
      <c r="B158" s="272"/>
      <c r="C158" s="272"/>
      <c r="D158" s="272"/>
      <c r="E158" s="272"/>
      <c r="F158" s="105"/>
      <c r="G158" s="272"/>
      <c r="H158" s="105"/>
      <c r="I158" s="272"/>
      <c r="J158" s="272"/>
      <c r="K158" s="272"/>
      <c r="L158" s="272"/>
      <c r="M158" s="272"/>
      <c r="N158" s="272"/>
      <c r="O158" s="272"/>
      <c r="P158" s="272"/>
      <c r="Q158" s="105"/>
      <c r="R158" s="272"/>
      <c r="S158" s="272"/>
      <c r="T158" s="272"/>
      <c r="U158" s="272"/>
      <c r="V158" s="272"/>
      <c r="W158" s="272"/>
      <c r="X158" s="272"/>
      <c r="Y158" s="272"/>
      <c r="Z158" s="272"/>
      <c r="AA158" s="272"/>
      <c r="AB158" s="272"/>
      <c r="AC158" s="272"/>
      <c r="AD158" s="272"/>
      <c r="AE158" s="272"/>
      <c r="AF158" s="272"/>
      <c r="AG158" s="272"/>
      <c r="AH158" s="272"/>
      <c r="AI158" s="272"/>
      <c r="AJ158" s="273"/>
      <c r="AK158" s="272"/>
      <c r="AL158" s="273"/>
      <c r="AM158" s="272"/>
      <c r="AN158" s="105"/>
      <c r="AO158" s="272"/>
      <c r="AP158" s="272"/>
      <c r="AQ158" s="105"/>
      <c r="AR158" s="272"/>
      <c r="AS158" s="272"/>
      <c r="AT158" s="272"/>
      <c r="AU158" s="105"/>
      <c r="AV158" s="272"/>
      <c r="AW158" s="304"/>
      <c r="AX158" s="272"/>
      <c r="AY158" s="105"/>
      <c r="AZ158" s="183"/>
      <c r="BA158" s="272"/>
      <c r="BB158" s="96"/>
    </row>
    <row r="159" spans="1:54" x14ac:dyDescent="0.3">
      <c r="A159" s="271" t="s">
        <v>74</v>
      </c>
      <c r="B159" s="272"/>
      <c r="C159" s="272"/>
      <c r="D159" s="272"/>
      <c r="E159" s="272"/>
      <c r="F159" s="105"/>
      <c r="G159" s="272"/>
      <c r="H159" s="105"/>
      <c r="I159" s="272"/>
      <c r="J159" s="272"/>
      <c r="K159" s="272"/>
      <c r="L159" s="272"/>
      <c r="M159" s="272"/>
      <c r="N159" s="272"/>
      <c r="O159" s="272"/>
      <c r="P159" s="272"/>
      <c r="Q159" s="105"/>
      <c r="R159" s="272"/>
      <c r="S159" s="272"/>
      <c r="T159" s="272"/>
      <c r="U159" s="272"/>
      <c r="V159" s="272"/>
      <c r="W159" s="272"/>
      <c r="X159" s="272"/>
      <c r="Y159" s="272"/>
      <c r="Z159" s="272"/>
      <c r="AA159" s="272"/>
      <c r="AB159" s="272"/>
      <c r="AC159" s="272"/>
      <c r="AD159" s="272"/>
      <c r="AE159" s="272"/>
      <c r="AF159" s="272"/>
      <c r="AG159" s="272"/>
      <c r="AH159" s="272"/>
      <c r="AI159" s="272"/>
      <c r="AJ159" s="273"/>
      <c r="AK159" s="272"/>
      <c r="AL159" s="273"/>
      <c r="AM159" s="272"/>
      <c r="AN159" s="105"/>
      <c r="AO159" s="272"/>
      <c r="AP159" s="272"/>
      <c r="AQ159" s="105"/>
      <c r="AR159" s="272"/>
      <c r="AS159" s="272"/>
      <c r="AT159" s="272"/>
      <c r="AU159" s="105"/>
      <c r="AV159" s="272"/>
      <c r="AW159" s="304"/>
      <c r="AX159" s="272"/>
      <c r="AY159" s="105"/>
      <c r="AZ159" s="183"/>
      <c r="BA159" s="272"/>
      <c r="BB159" s="96"/>
    </row>
    <row r="160" spans="1:54" x14ac:dyDescent="0.3">
      <c r="A160" s="271" t="s">
        <v>75</v>
      </c>
      <c r="B160" s="272"/>
      <c r="C160" s="272"/>
      <c r="D160" s="272"/>
      <c r="E160" s="272"/>
      <c r="F160" s="105"/>
      <c r="G160" s="272"/>
      <c r="H160" s="105"/>
      <c r="I160" s="272"/>
      <c r="J160" s="272"/>
      <c r="K160" s="272"/>
      <c r="L160" s="272"/>
      <c r="M160" s="272"/>
      <c r="N160" s="272"/>
      <c r="O160" s="272"/>
      <c r="P160" s="272"/>
      <c r="Q160" s="105"/>
      <c r="R160" s="272"/>
      <c r="S160" s="272"/>
      <c r="T160" s="272"/>
      <c r="U160" s="272"/>
      <c r="V160" s="272"/>
      <c r="W160" s="272"/>
      <c r="X160" s="272"/>
      <c r="Y160" s="272"/>
      <c r="Z160" s="272"/>
      <c r="AA160" s="272"/>
      <c r="AB160" s="272"/>
      <c r="AC160" s="272"/>
      <c r="AD160" s="272"/>
      <c r="AE160" s="272"/>
      <c r="AF160" s="272"/>
      <c r="AG160" s="272"/>
      <c r="AH160" s="272"/>
      <c r="AI160" s="272"/>
      <c r="AJ160" s="273"/>
      <c r="AK160" s="272"/>
      <c r="AL160" s="273"/>
      <c r="AM160" s="272"/>
      <c r="AN160" s="105"/>
      <c r="AO160" s="272"/>
      <c r="AP160" s="272"/>
      <c r="AQ160" s="105"/>
      <c r="AR160" s="272"/>
      <c r="AS160" s="272"/>
      <c r="AT160" s="272"/>
      <c r="AU160" s="105"/>
      <c r="AV160" s="272"/>
      <c r="AW160" s="304"/>
      <c r="AX160" s="272"/>
      <c r="AY160" s="105"/>
      <c r="AZ160" s="183"/>
      <c r="BA160" s="272"/>
      <c r="BB160" s="96"/>
    </row>
    <row r="161" spans="1:54" x14ac:dyDescent="0.3">
      <c r="A161" s="271" t="s">
        <v>76</v>
      </c>
      <c r="B161" s="272"/>
      <c r="C161" s="272"/>
      <c r="D161" s="272"/>
      <c r="E161" s="272"/>
      <c r="F161" s="105"/>
      <c r="G161" s="272"/>
      <c r="H161" s="105"/>
      <c r="I161" s="272"/>
      <c r="J161" s="272"/>
      <c r="K161" s="272"/>
      <c r="L161" s="272"/>
      <c r="M161" s="272"/>
      <c r="N161" s="272"/>
      <c r="O161" s="272"/>
      <c r="P161" s="272"/>
      <c r="Q161" s="105"/>
      <c r="R161" s="272"/>
      <c r="S161" s="272"/>
      <c r="T161" s="272"/>
      <c r="U161" s="272"/>
      <c r="V161" s="272"/>
      <c r="W161" s="272"/>
      <c r="X161" s="272"/>
      <c r="Y161" s="272"/>
      <c r="Z161" s="272"/>
      <c r="AA161" s="272"/>
      <c r="AB161" s="272"/>
      <c r="AC161" s="272"/>
      <c r="AD161" s="272"/>
      <c r="AE161" s="272"/>
      <c r="AF161" s="272"/>
      <c r="AG161" s="272"/>
      <c r="AH161" s="272"/>
      <c r="AI161" s="272"/>
      <c r="AJ161" s="273"/>
      <c r="AK161" s="272"/>
      <c r="AL161" s="273"/>
      <c r="AM161" s="272"/>
      <c r="AN161" s="105"/>
      <c r="AO161" s="272"/>
      <c r="AP161" s="272"/>
      <c r="AQ161" s="105"/>
      <c r="AR161" s="272"/>
      <c r="AS161" s="272"/>
      <c r="AT161" s="272"/>
      <c r="AU161" s="105"/>
      <c r="AV161" s="272"/>
      <c r="AW161" s="304"/>
      <c r="AX161" s="272"/>
      <c r="AY161" s="105"/>
      <c r="AZ161" s="183"/>
      <c r="BA161" s="272"/>
      <c r="BB161" s="96"/>
    </row>
    <row r="162" spans="1:54" x14ac:dyDescent="0.3">
      <c r="A162" s="97"/>
      <c r="B162" s="98"/>
      <c r="C162" s="99"/>
      <c r="D162" s="100"/>
      <c r="E162" s="101"/>
      <c r="F162" s="100"/>
      <c r="G162" s="101"/>
      <c r="H162" s="100"/>
      <c r="I162" s="101"/>
      <c r="J162" s="101"/>
      <c r="K162" s="101"/>
      <c r="L162" s="101"/>
      <c r="M162" s="101"/>
      <c r="N162" s="101"/>
      <c r="O162" s="101"/>
      <c r="P162" s="101"/>
      <c r="Q162" s="100"/>
      <c r="R162" s="101"/>
      <c r="S162" s="101"/>
      <c r="T162" s="101"/>
      <c r="U162" s="100"/>
      <c r="V162" s="101"/>
      <c r="W162" s="100"/>
      <c r="X162" s="101"/>
      <c r="Y162" s="98"/>
      <c r="Z162" s="98"/>
      <c r="AA162" s="98"/>
      <c r="AB162" s="98"/>
      <c r="AC162" s="98"/>
      <c r="AD162" s="98"/>
      <c r="AE162" s="100"/>
      <c r="AF162" s="101"/>
      <c r="AG162" s="101"/>
      <c r="AH162" s="101"/>
      <c r="AI162" s="101"/>
      <c r="AJ162" s="100"/>
      <c r="AK162" s="101"/>
      <c r="AL162" s="100"/>
      <c r="AM162" s="101"/>
      <c r="AN162" s="100"/>
      <c r="AO162" s="101"/>
      <c r="AP162" s="101"/>
      <c r="AQ162" s="100"/>
      <c r="AR162" s="101"/>
      <c r="AS162" s="101"/>
      <c r="AT162" s="101"/>
      <c r="AU162" s="100"/>
      <c r="AV162" s="101"/>
      <c r="AW162" s="100"/>
      <c r="AX162" s="101"/>
      <c r="AY162" s="100"/>
      <c r="AZ162" s="101"/>
      <c r="BA162" s="101"/>
      <c r="BB162" s="102"/>
    </row>
  </sheetData>
  <sheetProtection algorithmName="SHA-512" hashValue="0ws3O8+Qcp4i+LFPFMscdnTnFbqE5AyH+4DWFIMVYmi6e0JDEfKvalIiKDmBX82gMvG6nV/46PnYjh5JSBDBPQ==" saltValue="NFRYE/GG2D/10Ri1bGEwvA==" spinCount="100000" sheet="1" formatCells="0" formatColumns="0" formatRows="0"/>
  <sortState xmlns:xlrd2="http://schemas.microsoft.com/office/spreadsheetml/2017/richdata2" ref="A43:BC120">
    <sortCondition ref="A120"/>
  </sortState>
  <mergeCells count="9">
    <mergeCell ref="AJ4:AM4"/>
    <mergeCell ref="AN4:AP4"/>
    <mergeCell ref="AQ4:AT4"/>
    <mergeCell ref="AU4:BB4"/>
    <mergeCell ref="D4:E4"/>
    <mergeCell ref="Q4:T4"/>
    <mergeCell ref="U4:AD4"/>
    <mergeCell ref="AE4:AI4"/>
    <mergeCell ref="F4:P4"/>
  </mergeCells>
  <phoneticPr fontId="0" type="noConversion"/>
  <printOptions horizontalCentered="1" gridLines="1"/>
  <pageMargins left="0.25" right="0.25" top="0.21" bottom="0.28000000000000003" header="0.12" footer="0.17"/>
  <pageSetup paperSize="9" scale="59" fitToWidth="4" fitToHeight="8" orientation="landscape" r:id="rId1"/>
  <headerFooter alignWithMargins="0">
    <oddFooter>Page &amp;P of &amp;N</oddFooter>
  </headerFooter>
  <colBreaks count="3" manualBreakCount="3">
    <brk id="16" max="93" man="1"/>
    <brk id="30" max="93" man="1"/>
    <brk id="42" max="93"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4" activePane="bottomLeft" state="frozen"/>
      <selection pane="bottomLeft" activeCell="K17" sqref="K17"/>
    </sheetView>
  </sheetViews>
  <sheetFormatPr defaultColWidth="11.44140625" defaultRowHeight="14.4" x14ac:dyDescent="0.3"/>
  <cols>
    <col min="1" max="1" width="33.88671875" style="230" customWidth="1"/>
    <col min="2" max="2" width="5.5546875" style="243" bestFit="1" customWidth="1"/>
    <col min="3" max="3" width="10" style="244" bestFit="1" customWidth="1"/>
    <col min="4" max="4" width="10.33203125" style="244" customWidth="1"/>
    <col min="5" max="5" width="9.44140625" style="244" bestFit="1" customWidth="1"/>
    <col min="6" max="6" width="12.44140625" style="244" customWidth="1"/>
    <col min="7" max="7" width="9.33203125" style="244" customWidth="1"/>
    <col min="8" max="8" width="12.33203125" style="244" customWidth="1"/>
    <col min="9" max="9" width="8.109375" style="244" bestFit="1" customWidth="1"/>
    <col min="10" max="10" width="9.5546875" style="245" customWidth="1"/>
    <col min="11" max="12" width="11.44140625" style="220"/>
    <col min="13" max="13" width="14.88671875" style="246" bestFit="1" customWidth="1"/>
    <col min="14" max="14" width="9.88671875" style="246" bestFit="1" customWidth="1"/>
    <col min="15" max="16" width="9.33203125" style="246" bestFit="1" customWidth="1"/>
    <col min="17" max="19" width="10.6640625" style="246" bestFit="1" customWidth="1"/>
    <col min="20" max="16384" width="11.44140625" style="232"/>
  </cols>
  <sheetData>
    <row r="1" spans="1:19" s="230" customFormat="1" ht="43.2" x14ac:dyDescent="0.3">
      <c r="A1" s="344" t="s">
        <v>172</v>
      </c>
      <c r="B1" s="345"/>
      <c r="C1" s="346">
        <v>1204</v>
      </c>
      <c r="D1" s="345">
        <v>3604</v>
      </c>
      <c r="E1" s="345">
        <v>4076</v>
      </c>
      <c r="F1" s="345">
        <v>3620</v>
      </c>
      <c r="G1" s="346" t="s">
        <v>80</v>
      </c>
      <c r="H1" s="345">
        <v>4561</v>
      </c>
      <c r="I1" s="345" t="s">
        <v>81</v>
      </c>
      <c r="J1" s="347" t="s">
        <v>82</v>
      </c>
      <c r="K1" s="348" t="s">
        <v>83</v>
      </c>
      <c r="L1" s="348" t="s">
        <v>84</v>
      </c>
      <c r="M1" s="347" t="s">
        <v>85</v>
      </c>
      <c r="N1" s="347" t="s">
        <v>86</v>
      </c>
      <c r="O1" s="347" t="s">
        <v>87</v>
      </c>
      <c r="P1" s="347" t="s">
        <v>88</v>
      </c>
      <c r="Q1" s="347" t="s">
        <v>89</v>
      </c>
      <c r="R1" s="347" t="s">
        <v>90</v>
      </c>
      <c r="S1" s="347" t="s">
        <v>164</v>
      </c>
    </row>
    <row r="2" spans="1:19" s="231" customFormat="1" ht="28.8" x14ac:dyDescent="0.3">
      <c r="A2" s="349" t="s">
        <v>173</v>
      </c>
      <c r="B2" s="350"/>
      <c r="C2" s="351">
        <v>30</v>
      </c>
      <c r="D2" s="350">
        <v>77</v>
      </c>
      <c r="E2" s="350">
        <v>19.100000000000001</v>
      </c>
      <c r="F2" s="350">
        <v>50</v>
      </c>
      <c r="G2" s="351">
        <v>7.5</v>
      </c>
      <c r="H2" s="350" t="s">
        <v>174</v>
      </c>
      <c r="I2" s="350"/>
      <c r="J2" s="352"/>
      <c r="K2" s="347"/>
      <c r="L2" s="347"/>
      <c r="M2" s="347"/>
      <c r="N2" s="347"/>
      <c r="O2" s="347"/>
      <c r="P2" s="347"/>
      <c r="Q2" s="347"/>
      <c r="R2" s="347"/>
      <c r="S2" s="347"/>
    </row>
    <row r="3" spans="1:19" s="230" customFormat="1" x14ac:dyDescent="0.3">
      <c r="A3" s="344"/>
      <c r="B3" s="345"/>
      <c r="C3" s="346" t="s">
        <v>91</v>
      </c>
      <c r="D3" s="345" t="s">
        <v>92</v>
      </c>
      <c r="E3" s="345" t="s">
        <v>93</v>
      </c>
      <c r="F3" s="345" t="s">
        <v>94</v>
      </c>
      <c r="G3" s="346"/>
      <c r="H3" s="345" t="s">
        <v>95</v>
      </c>
      <c r="I3" s="345"/>
      <c r="J3" s="353"/>
      <c r="K3" s="348"/>
      <c r="L3" s="348"/>
      <c r="M3" s="347"/>
      <c r="N3" s="347"/>
      <c r="O3" s="347"/>
      <c r="P3" s="347"/>
      <c r="Q3" s="347"/>
      <c r="R3" s="347"/>
      <c r="S3" s="347"/>
    </row>
    <row r="4" spans="1:19" x14ac:dyDescent="0.3">
      <c r="A4" s="208" t="s">
        <v>96</v>
      </c>
      <c r="B4" s="209">
        <v>2025</v>
      </c>
      <c r="C4" s="210">
        <v>18.315000000000001</v>
      </c>
      <c r="D4" s="210">
        <v>25.946999999999999</v>
      </c>
      <c r="E4" s="210">
        <v>20.088000000000001</v>
      </c>
      <c r="F4" s="210">
        <v>17.457000000000001</v>
      </c>
      <c r="G4" s="210"/>
      <c r="H4" s="210">
        <v>23.161999999999999</v>
      </c>
      <c r="I4" s="210"/>
      <c r="J4" s="211"/>
      <c r="K4" s="210"/>
      <c r="L4" s="210"/>
      <c r="M4" s="212"/>
      <c r="N4" s="212"/>
      <c r="O4" s="212"/>
      <c r="P4" s="212"/>
      <c r="Q4" s="212"/>
      <c r="R4" s="212"/>
      <c r="S4" s="212"/>
    </row>
    <row r="5" spans="1:19" x14ac:dyDescent="0.3">
      <c r="A5" s="233" t="s">
        <v>96</v>
      </c>
      <c r="B5" s="234">
        <v>2026</v>
      </c>
      <c r="C5" s="213">
        <f>556.8/C2</f>
        <v>18.559999999999999</v>
      </c>
      <c r="D5" s="213">
        <v>26.933</v>
      </c>
      <c r="E5" s="244">
        <v>20.710999999999999</v>
      </c>
      <c r="F5" s="213">
        <v>18.12</v>
      </c>
      <c r="G5" s="213"/>
      <c r="H5" s="213">
        <v>23.88</v>
      </c>
      <c r="I5" s="213"/>
      <c r="J5" s="214"/>
      <c r="K5" s="213"/>
      <c r="L5" s="213"/>
      <c r="M5" s="215"/>
      <c r="N5" s="215"/>
      <c r="O5" s="215"/>
      <c r="P5" s="215"/>
      <c r="Q5" s="215"/>
      <c r="R5" s="215"/>
      <c r="S5" s="215"/>
    </row>
    <row r="6" spans="1:19" x14ac:dyDescent="0.3">
      <c r="A6" s="208" t="s">
        <v>165</v>
      </c>
      <c r="B6" s="209">
        <v>2025</v>
      </c>
      <c r="C6" s="210">
        <v>18.559999999999999</v>
      </c>
      <c r="D6" s="210">
        <v>26.293506493506491</v>
      </c>
      <c r="E6" s="210"/>
      <c r="F6" s="210">
        <v>17.694000000000003</v>
      </c>
      <c r="G6" s="210">
        <v>29.986666666666668</v>
      </c>
      <c r="H6" s="210"/>
      <c r="I6" s="210"/>
      <c r="J6" s="211"/>
      <c r="K6" s="210"/>
      <c r="L6" s="210"/>
      <c r="M6" s="212"/>
      <c r="N6" s="212"/>
      <c r="O6" s="212"/>
      <c r="P6" s="212"/>
      <c r="Q6" s="212"/>
      <c r="R6" s="212"/>
      <c r="S6" s="212"/>
    </row>
    <row r="7" spans="1:19" x14ac:dyDescent="0.3">
      <c r="A7" s="233" t="s">
        <v>165</v>
      </c>
      <c r="B7" s="234">
        <v>2026</v>
      </c>
      <c r="C7" s="244">
        <f>579.1/C2</f>
        <v>19.303333333333335</v>
      </c>
      <c r="D7" s="213">
        <f>2105.6/D2</f>
        <v>27.345454545454544</v>
      </c>
      <c r="E7" s="213"/>
      <c r="F7" s="213">
        <f>920.1/F2</f>
        <v>18.402000000000001</v>
      </c>
      <c r="G7" s="213">
        <f>233.9/G2</f>
        <v>31.186666666666667</v>
      </c>
      <c r="H7" s="213"/>
      <c r="I7" s="213"/>
      <c r="J7" s="214"/>
      <c r="K7" s="213"/>
      <c r="L7" s="213"/>
      <c r="M7" s="215"/>
      <c r="N7" s="215"/>
      <c r="O7" s="215"/>
      <c r="P7" s="215"/>
      <c r="Q7" s="215"/>
      <c r="R7" s="215"/>
      <c r="S7" s="215"/>
    </row>
    <row r="8" spans="1:19" x14ac:dyDescent="0.3">
      <c r="A8" s="208" t="s">
        <v>98</v>
      </c>
      <c r="B8" s="209">
        <v>2025</v>
      </c>
      <c r="C8" s="210">
        <v>17.748999999999999</v>
      </c>
      <c r="D8" s="210">
        <v>25.145</v>
      </c>
      <c r="E8" s="210">
        <v>19.943999999999999</v>
      </c>
      <c r="F8" s="210">
        <v>16.920000000000002</v>
      </c>
      <c r="G8" s="210"/>
      <c r="H8" s="210">
        <v>23</v>
      </c>
      <c r="I8" s="210"/>
      <c r="J8" s="211"/>
      <c r="K8" s="210"/>
      <c r="L8" s="210"/>
      <c r="M8" s="212"/>
      <c r="N8" s="212"/>
      <c r="O8" s="212"/>
      <c r="P8" s="212"/>
      <c r="Q8" s="212"/>
      <c r="R8" s="212"/>
      <c r="S8" s="212"/>
    </row>
    <row r="9" spans="1:19" x14ac:dyDescent="0.3">
      <c r="A9" s="233" t="s">
        <v>98</v>
      </c>
      <c r="B9" s="234">
        <v>2026</v>
      </c>
      <c r="C9" s="213">
        <v>18.422999999999998</v>
      </c>
      <c r="D9" s="213">
        <v>26.100999999999999</v>
      </c>
      <c r="E9" s="213">
        <v>20.702000000000002</v>
      </c>
      <c r="F9" s="213">
        <v>17.562999999999999</v>
      </c>
      <c r="G9" s="213">
        <f>223.3/G2</f>
        <v>29.773333333333333</v>
      </c>
      <c r="H9" s="213">
        <v>23.873999999999999</v>
      </c>
      <c r="I9" s="213"/>
      <c r="J9" s="214"/>
      <c r="K9" s="213"/>
      <c r="L9" s="213"/>
      <c r="M9" s="213"/>
      <c r="N9" s="213"/>
      <c r="O9" s="213"/>
      <c r="P9" s="213"/>
      <c r="Q9" s="215"/>
      <c r="R9" s="215"/>
      <c r="S9" s="215"/>
    </row>
    <row r="10" spans="1:19" x14ac:dyDescent="0.3">
      <c r="A10" s="208" t="s">
        <v>99</v>
      </c>
      <c r="B10" s="209">
        <v>2025</v>
      </c>
      <c r="C10" s="210">
        <v>18.001999999999999</v>
      </c>
      <c r="D10" s="210">
        <v>25.501000000000001</v>
      </c>
      <c r="E10" s="210">
        <v>20.228999999999999</v>
      </c>
      <c r="F10" s="210">
        <v>17.164000000000001</v>
      </c>
      <c r="G10" s="210"/>
      <c r="H10" s="210">
        <v>23.33</v>
      </c>
      <c r="I10" s="210"/>
      <c r="J10" s="211"/>
      <c r="K10" s="210"/>
      <c r="L10" s="210"/>
      <c r="M10" s="212"/>
      <c r="N10" s="212"/>
      <c r="O10" s="212"/>
      <c r="P10" s="212"/>
      <c r="Q10" s="212"/>
      <c r="R10" s="212"/>
      <c r="S10" s="212"/>
    </row>
    <row r="11" spans="1:19" x14ac:dyDescent="0.3">
      <c r="A11" s="233" t="s">
        <v>99</v>
      </c>
      <c r="B11" s="234">
        <v>2026</v>
      </c>
      <c r="C11" s="213">
        <v>18.722000000000001</v>
      </c>
      <c r="D11" s="213">
        <v>26.100999999999999</v>
      </c>
      <c r="E11" s="213">
        <v>21.038</v>
      </c>
      <c r="F11" s="213">
        <v>1.3409722222222222</v>
      </c>
      <c r="G11" s="213"/>
      <c r="H11" s="213">
        <v>24.263000000000002</v>
      </c>
      <c r="I11" s="213"/>
      <c r="J11" s="214"/>
      <c r="K11" s="213"/>
      <c r="L11" s="213"/>
      <c r="M11" s="215"/>
      <c r="N11" s="215"/>
      <c r="O11" s="215"/>
      <c r="P11" s="215"/>
      <c r="Q11" s="215"/>
      <c r="R11" s="215"/>
      <c r="S11" s="215"/>
    </row>
    <row r="12" spans="1:19" x14ac:dyDescent="0.3">
      <c r="A12" s="208" t="s">
        <v>273</v>
      </c>
      <c r="B12" s="209">
        <v>2025</v>
      </c>
      <c r="C12" s="210">
        <v>18.556666666666668</v>
      </c>
      <c r="D12" s="210">
        <v>26.290909090909093</v>
      </c>
      <c r="E12" s="210"/>
      <c r="F12" s="210">
        <v>17.687999999999999</v>
      </c>
      <c r="G12" s="210">
        <v>29.973333333333336</v>
      </c>
      <c r="H12" s="210">
        <v>24.752808988764045</v>
      </c>
      <c r="I12" s="210"/>
      <c r="J12" s="211"/>
      <c r="K12" s="210"/>
      <c r="L12" s="210"/>
      <c r="M12" s="212"/>
      <c r="N12" s="212"/>
      <c r="O12" s="212"/>
      <c r="P12" s="212"/>
      <c r="Q12" s="212"/>
      <c r="R12" s="212"/>
      <c r="S12" s="212"/>
    </row>
    <row r="13" spans="1:19" x14ac:dyDescent="0.3">
      <c r="A13" s="233" t="s">
        <v>273</v>
      </c>
      <c r="B13" s="234">
        <v>2026</v>
      </c>
      <c r="C13" s="213">
        <f>574/C2</f>
        <v>19.133333333333333</v>
      </c>
      <c r="D13" s="213">
        <f>2087.2/D2</f>
        <v>27.106493506493504</v>
      </c>
      <c r="E13" s="213">
        <f>281.5/E2</f>
        <v>14.738219895287957</v>
      </c>
      <c r="F13" s="213">
        <f>911.8/F2</f>
        <v>18.236000000000001</v>
      </c>
      <c r="G13" s="213">
        <f>231.8/G2</f>
        <v>30.90666666666667</v>
      </c>
      <c r="H13" s="213">
        <f>227.1/13.4</f>
        <v>16.947761194029852</v>
      </c>
      <c r="I13" s="213"/>
      <c r="J13" s="214"/>
      <c r="K13" s="213"/>
      <c r="L13" s="213"/>
      <c r="M13" s="215"/>
      <c r="N13" s="215"/>
      <c r="O13" s="215"/>
      <c r="P13" s="215"/>
      <c r="Q13" s="215"/>
      <c r="R13" s="215"/>
      <c r="S13" s="215"/>
    </row>
    <row r="14" spans="1:19" x14ac:dyDescent="0.3">
      <c r="A14" s="208" t="s">
        <v>101</v>
      </c>
      <c r="B14" s="209">
        <v>2025</v>
      </c>
      <c r="C14" s="210">
        <v>17.083333333333332</v>
      </c>
      <c r="D14" s="210">
        <v>24.207792207792206</v>
      </c>
      <c r="E14" s="210">
        <v>13.167539267015705</v>
      </c>
      <c r="F14" s="210">
        <v>16.284000000000002</v>
      </c>
      <c r="G14" s="210">
        <v>27.626666666666665</v>
      </c>
      <c r="H14" s="210">
        <v>22.797752808988765</v>
      </c>
      <c r="I14" s="210"/>
      <c r="J14" s="211"/>
      <c r="K14" s="210"/>
      <c r="L14" s="210"/>
      <c r="M14" s="212"/>
      <c r="N14" s="212"/>
      <c r="O14" s="212"/>
      <c r="P14" s="212"/>
      <c r="Q14" s="212"/>
      <c r="R14" s="212"/>
      <c r="S14" s="212"/>
    </row>
    <row r="15" spans="1:19" x14ac:dyDescent="0.3">
      <c r="A15" s="208" t="s">
        <v>102</v>
      </c>
      <c r="B15" s="209">
        <v>2025</v>
      </c>
      <c r="C15" s="210">
        <v>17.57</v>
      </c>
      <c r="D15" s="210">
        <v>24.888311688311688</v>
      </c>
      <c r="E15" s="210">
        <v>20.303664921465966</v>
      </c>
      <c r="F15" s="210">
        <v>16.748000000000001</v>
      </c>
      <c r="G15" s="210">
        <v>28.386666666666667</v>
      </c>
      <c r="H15" s="210">
        <v>23.499999999999996</v>
      </c>
      <c r="I15" s="210"/>
      <c r="J15" s="211"/>
      <c r="K15" s="210"/>
      <c r="L15" s="210"/>
      <c r="M15" s="212"/>
      <c r="N15" s="212"/>
      <c r="O15" s="212"/>
      <c r="P15" s="212"/>
      <c r="Q15" s="212"/>
      <c r="R15" s="212"/>
      <c r="S15" s="212"/>
    </row>
    <row r="16" spans="1:19" x14ac:dyDescent="0.3">
      <c r="A16" s="208" t="s">
        <v>103</v>
      </c>
      <c r="B16" s="209">
        <v>2025</v>
      </c>
      <c r="C16" s="210">
        <v>17.57</v>
      </c>
      <c r="D16" s="210">
        <v>24.888311688311688</v>
      </c>
      <c r="E16" s="210">
        <v>20.303664921465966</v>
      </c>
      <c r="F16" s="210">
        <v>16.748000000000001</v>
      </c>
      <c r="G16" s="210">
        <v>28.386666666666667</v>
      </c>
      <c r="H16" s="210">
        <v>23.499999999999996</v>
      </c>
      <c r="I16" s="210"/>
      <c r="J16" s="211"/>
      <c r="K16" s="210"/>
      <c r="L16" s="210"/>
      <c r="M16" s="212"/>
      <c r="N16" s="212"/>
      <c r="O16" s="212"/>
      <c r="P16" s="212"/>
      <c r="Q16" s="212"/>
      <c r="R16" s="212"/>
      <c r="S16" s="212"/>
    </row>
    <row r="17" spans="1:21" ht="86.4" x14ac:dyDescent="0.3">
      <c r="A17" s="216" t="s">
        <v>175</v>
      </c>
      <c r="B17" s="209">
        <v>2025</v>
      </c>
      <c r="C17" s="210">
        <v>18.376666666666665</v>
      </c>
      <c r="D17" s="210">
        <v>26.024675324675325</v>
      </c>
      <c r="E17" s="210">
        <v>21.240837696335078</v>
      </c>
      <c r="F17" s="210">
        <v>17.515999999999998</v>
      </c>
      <c r="G17" s="210">
        <v>29.706666666666667</v>
      </c>
      <c r="H17" s="210">
        <v>22.977611940298505</v>
      </c>
      <c r="I17" s="210"/>
      <c r="J17" s="211"/>
      <c r="K17" s="210">
        <v>0</v>
      </c>
      <c r="L17" s="210">
        <v>0</v>
      </c>
      <c r="M17" s="212">
        <v>0</v>
      </c>
      <c r="N17" s="212">
        <v>0</v>
      </c>
      <c r="O17" s="212">
        <v>0</v>
      </c>
      <c r="P17" s="212">
        <v>0</v>
      </c>
      <c r="Q17" s="212">
        <v>0</v>
      </c>
      <c r="R17" s="212">
        <v>0</v>
      </c>
      <c r="S17" s="212">
        <v>0</v>
      </c>
    </row>
    <row r="18" spans="1:21" x14ac:dyDescent="0.3">
      <c r="A18" s="208" t="s">
        <v>104</v>
      </c>
      <c r="B18" s="209">
        <v>2025</v>
      </c>
      <c r="C18" s="210">
        <v>19.046666666666667</v>
      </c>
      <c r="D18" s="210">
        <v>26.980519480519479</v>
      </c>
      <c r="E18" s="210">
        <v>14.680628272251306</v>
      </c>
      <c r="F18" s="210">
        <v>18.167999999999999</v>
      </c>
      <c r="G18" s="210">
        <v>30.746666666666666</v>
      </c>
      <c r="H18" s="210">
        <v>25.438202247191011</v>
      </c>
      <c r="I18" s="210"/>
      <c r="J18" s="211"/>
      <c r="K18" s="210"/>
      <c r="L18" s="210"/>
      <c r="M18" s="212"/>
      <c r="N18" s="212"/>
      <c r="O18" s="212"/>
      <c r="P18" s="212"/>
      <c r="Q18" s="212"/>
      <c r="R18" s="212"/>
      <c r="S18" s="212"/>
    </row>
    <row r="19" spans="1:21" x14ac:dyDescent="0.3">
      <c r="A19" s="208" t="s">
        <v>105</v>
      </c>
      <c r="B19" s="209">
        <v>2025</v>
      </c>
      <c r="C19" s="210">
        <v>24.326666666666664</v>
      </c>
      <c r="D19" s="210">
        <v>34.487012987012989</v>
      </c>
      <c r="E19" s="210">
        <v>28.136125654450257</v>
      </c>
      <c r="F19" s="210">
        <v>23.201999999999998</v>
      </c>
      <c r="G19" s="210">
        <v>39.373333333333335</v>
      </c>
      <c r="H19" s="210">
        <v>32.455223880597011</v>
      </c>
      <c r="I19" s="210"/>
      <c r="J19" s="211"/>
      <c r="K19" s="210"/>
      <c r="L19" s="210"/>
      <c r="M19" s="212"/>
      <c r="N19" s="212"/>
      <c r="O19" s="212"/>
      <c r="P19" s="212"/>
      <c r="Q19" s="212"/>
      <c r="R19" s="212"/>
      <c r="S19" s="212"/>
    </row>
    <row r="20" spans="1:21" x14ac:dyDescent="0.3">
      <c r="A20" s="208" t="s">
        <v>106</v>
      </c>
      <c r="B20" s="209">
        <v>2025</v>
      </c>
      <c r="C20" s="210">
        <v>24.326666666666664</v>
      </c>
      <c r="D20" s="210">
        <v>34.487012987012989</v>
      </c>
      <c r="E20" s="210">
        <v>28.136125654450257</v>
      </c>
      <c r="F20" s="210">
        <v>23.201999999999998</v>
      </c>
      <c r="G20" s="210">
        <v>39.373333333333335</v>
      </c>
      <c r="H20" s="210">
        <v>32.455223880597011</v>
      </c>
      <c r="I20" s="210"/>
      <c r="J20" s="211"/>
      <c r="K20" s="210"/>
      <c r="L20" s="210"/>
      <c r="M20" s="212"/>
      <c r="N20" s="212"/>
      <c r="O20" s="212"/>
      <c r="P20" s="212"/>
      <c r="Q20" s="212"/>
      <c r="R20" s="212"/>
      <c r="S20" s="212"/>
    </row>
    <row r="21" spans="1:21" ht="100.8" x14ac:dyDescent="0.3">
      <c r="A21" s="216" t="s">
        <v>107</v>
      </c>
      <c r="B21" s="209">
        <v>2025</v>
      </c>
      <c r="C21" s="210">
        <v>24.34</v>
      </c>
      <c r="D21" s="210">
        <v>34.487012987012989</v>
      </c>
      <c r="E21" s="210">
        <v>21.649214659685864</v>
      </c>
      <c r="F21" s="210">
        <v>23.204000000000001</v>
      </c>
      <c r="G21" s="210">
        <v>39.386666666666663</v>
      </c>
      <c r="H21" s="210">
        <v>24.96268656716418</v>
      </c>
      <c r="I21" s="210"/>
      <c r="J21" s="211"/>
      <c r="K21" s="210"/>
      <c r="L21" s="210"/>
      <c r="M21" s="212"/>
      <c r="N21" s="212"/>
      <c r="O21" s="212"/>
      <c r="P21" s="212"/>
      <c r="Q21" s="212"/>
      <c r="R21" s="212"/>
      <c r="S21" s="212"/>
    </row>
    <row r="22" spans="1:21" x14ac:dyDescent="0.3">
      <c r="A22" s="233" t="s">
        <v>101</v>
      </c>
      <c r="B22" s="234">
        <v>2026</v>
      </c>
      <c r="C22" s="213">
        <f>527.1/C2</f>
        <v>17.57</v>
      </c>
      <c r="D22" s="213">
        <f>1917.1/D2</f>
        <v>24.897402597402596</v>
      </c>
      <c r="E22" s="213">
        <f>258.7/E2</f>
        <v>13.544502617801045</v>
      </c>
      <c r="F22" s="213">
        <f>837.4/F2</f>
        <v>16.748000000000001</v>
      </c>
      <c r="G22" s="213">
        <f>213.1/G2</f>
        <v>28.413333333333334</v>
      </c>
      <c r="H22" s="213">
        <f>208.7/8.9</f>
        <v>23.44943820224719</v>
      </c>
      <c r="I22" s="213"/>
      <c r="J22" s="214"/>
      <c r="K22" s="213"/>
      <c r="L22" s="213"/>
      <c r="M22" s="215"/>
      <c r="N22" s="215"/>
      <c r="O22" s="215"/>
      <c r="P22" s="215"/>
      <c r="Q22" s="215"/>
      <c r="R22" s="215"/>
      <c r="S22" s="215"/>
    </row>
    <row r="23" spans="1:21" x14ac:dyDescent="0.3">
      <c r="A23" s="233" t="s">
        <v>102</v>
      </c>
      <c r="B23" s="234">
        <v>2026</v>
      </c>
      <c r="C23" s="213">
        <f>542.1/C2</f>
        <v>18.07</v>
      </c>
      <c r="D23" s="213">
        <f>1971/D2</f>
        <v>25.597402597402599</v>
      </c>
      <c r="E23" s="213">
        <f>398.9/E2</f>
        <v>20.8848167539267</v>
      </c>
      <c r="F23" s="213">
        <f>861.3/F2</f>
        <v>17.225999999999999</v>
      </c>
      <c r="G23" s="213">
        <f>219/G2</f>
        <v>29.2</v>
      </c>
      <c r="H23" s="213">
        <f>322.9/13.4</f>
        <v>24.097014925373131</v>
      </c>
      <c r="I23" s="213"/>
      <c r="J23" s="214"/>
      <c r="K23" s="213"/>
      <c r="L23" s="213"/>
      <c r="M23" s="215"/>
      <c r="N23" s="215"/>
      <c r="O23" s="215"/>
      <c r="P23" s="215"/>
      <c r="Q23" s="215"/>
      <c r="R23" s="215"/>
      <c r="S23" s="215"/>
    </row>
    <row r="24" spans="1:21" x14ac:dyDescent="0.3">
      <c r="A24" s="233" t="s">
        <v>103</v>
      </c>
      <c r="B24" s="234">
        <v>2026</v>
      </c>
      <c r="C24" s="325">
        <v>18.07</v>
      </c>
      <c r="D24" s="325">
        <v>25.597402597402599</v>
      </c>
      <c r="E24" s="325">
        <v>20.8848167539267</v>
      </c>
      <c r="F24" s="325">
        <v>17.225999999999999</v>
      </c>
      <c r="G24" s="325">
        <v>29.2</v>
      </c>
      <c r="H24" s="325">
        <v>24.097014925373131</v>
      </c>
      <c r="I24" s="213"/>
      <c r="J24" s="214"/>
      <c r="K24" s="213"/>
      <c r="L24" s="213"/>
      <c r="M24" s="215"/>
      <c r="N24" s="215"/>
      <c r="O24" s="215"/>
      <c r="P24" s="215"/>
      <c r="Q24" s="215"/>
      <c r="R24" s="215"/>
      <c r="S24" s="215"/>
    </row>
    <row r="25" spans="1:21" ht="86.4" x14ac:dyDescent="0.3">
      <c r="A25" s="235" t="s">
        <v>175</v>
      </c>
      <c r="B25" s="234">
        <v>2026</v>
      </c>
      <c r="C25" s="213">
        <f>568.4/C2</f>
        <v>18.946666666666665</v>
      </c>
      <c r="D25" s="213">
        <f>2066/D2</f>
        <v>26.831168831168831</v>
      </c>
      <c r="E25" s="213">
        <f>418.3/E2</f>
        <v>21.900523560209422</v>
      </c>
      <c r="F25" s="213">
        <f>902.9/F2</f>
        <v>18.058</v>
      </c>
      <c r="G25" s="213">
        <f>229.7/G2</f>
        <v>30.626666666666665</v>
      </c>
      <c r="H25" s="213">
        <f>338.3/13.4</f>
        <v>25.246268656716417</v>
      </c>
      <c r="I25" s="213"/>
      <c r="J25" s="213"/>
      <c r="K25" s="213">
        <f t="shared" ref="K25:S25" si="0">K31:Z31</f>
        <v>0</v>
      </c>
      <c r="L25" s="213">
        <f t="shared" si="0"/>
        <v>0</v>
      </c>
      <c r="M25" s="213">
        <f t="shared" si="0"/>
        <v>0</v>
      </c>
      <c r="N25" s="213">
        <f t="shared" si="0"/>
        <v>0</v>
      </c>
      <c r="O25" s="213">
        <f t="shared" si="0"/>
        <v>0</v>
      </c>
      <c r="P25" s="213">
        <f t="shared" si="0"/>
        <v>0</v>
      </c>
      <c r="Q25" s="213">
        <f t="shared" si="0"/>
        <v>0</v>
      </c>
      <c r="R25" s="213">
        <f t="shared" si="0"/>
        <v>0</v>
      </c>
      <c r="S25" s="213">
        <f t="shared" si="0"/>
        <v>0</v>
      </c>
    </row>
    <row r="26" spans="1:21" x14ac:dyDescent="0.3">
      <c r="A26" s="233" t="s">
        <v>104</v>
      </c>
      <c r="B26" s="234">
        <v>2026</v>
      </c>
      <c r="C26" s="213">
        <f>589.1/C2</f>
        <v>19.636666666666667</v>
      </c>
      <c r="D26" s="213">
        <f>2141.9/D2</f>
        <v>27.816883116883119</v>
      </c>
      <c r="E26" s="213">
        <f>289.1/E2</f>
        <v>15.136125654450263</v>
      </c>
      <c r="F26" s="213">
        <f>936.1/F2</f>
        <v>18.722000000000001</v>
      </c>
      <c r="G26" s="213">
        <f>237.7/G2</f>
        <v>31.693333333333332</v>
      </c>
      <c r="H26" s="213">
        <f>233.4/8.9</f>
        <v>26.224719101123593</v>
      </c>
      <c r="I26" s="213"/>
      <c r="J26" s="214"/>
      <c r="K26" s="213"/>
      <c r="L26" s="213"/>
      <c r="M26" s="215"/>
      <c r="N26" s="215"/>
      <c r="O26" s="215"/>
      <c r="P26" s="215"/>
      <c r="Q26" s="215"/>
      <c r="R26" s="215"/>
      <c r="S26" s="215"/>
    </row>
    <row r="27" spans="1:21" x14ac:dyDescent="0.3">
      <c r="A27" s="233" t="s">
        <v>105</v>
      </c>
      <c r="B27" s="234">
        <v>2026</v>
      </c>
      <c r="C27" s="325">
        <v>25.08</v>
      </c>
      <c r="D27" s="325">
        <v>35.555844155844156</v>
      </c>
      <c r="E27" s="325">
        <v>29.01047120418848</v>
      </c>
      <c r="F27" s="325">
        <v>23.921999999999997</v>
      </c>
      <c r="G27" s="325">
        <v>40.6</v>
      </c>
      <c r="H27" s="325">
        <v>33.462686567164177</v>
      </c>
      <c r="I27" s="213"/>
      <c r="J27" s="214"/>
      <c r="K27" s="213"/>
      <c r="L27" s="213"/>
      <c r="M27" s="215"/>
      <c r="N27" s="215"/>
      <c r="O27" s="215"/>
      <c r="P27" s="215"/>
      <c r="Q27" s="215"/>
      <c r="R27" s="215"/>
      <c r="S27" s="215"/>
    </row>
    <row r="28" spans="1:21" x14ac:dyDescent="0.3">
      <c r="A28" s="233" t="s">
        <v>106</v>
      </c>
      <c r="B28" s="234">
        <v>2026</v>
      </c>
      <c r="C28" s="213">
        <f>752.4/C2</f>
        <v>25.08</v>
      </c>
      <c r="D28" s="213">
        <f>2737.8/D2</f>
        <v>35.555844155844156</v>
      </c>
      <c r="E28" s="213">
        <f>554.1/E2</f>
        <v>29.01047120418848</v>
      </c>
      <c r="F28" s="213">
        <f>1196.1/F2</f>
        <v>23.921999999999997</v>
      </c>
      <c r="G28" s="213">
        <f>304.5/G2</f>
        <v>40.6</v>
      </c>
      <c r="H28" s="213">
        <f>448.4/13.4</f>
        <v>33.462686567164177</v>
      </c>
      <c r="I28" s="213"/>
      <c r="J28" s="214"/>
      <c r="K28" s="213"/>
      <c r="L28" s="213"/>
      <c r="M28" s="215"/>
      <c r="N28" s="215"/>
      <c r="O28" s="215"/>
      <c r="P28" s="215"/>
      <c r="Q28" s="215"/>
      <c r="R28" s="215"/>
      <c r="S28" s="215"/>
    </row>
    <row r="29" spans="1:21" ht="100.8" x14ac:dyDescent="0.3">
      <c r="A29" s="235" t="s">
        <v>277</v>
      </c>
      <c r="B29" s="234">
        <v>2026</v>
      </c>
      <c r="C29" s="213">
        <f>752.8/C2</f>
        <v>25.09333333333333</v>
      </c>
      <c r="D29" s="213">
        <f>2737.8/D2</f>
        <v>35.555844155844156</v>
      </c>
      <c r="E29" s="213">
        <f>426.3/E2</f>
        <v>22.319371727748688</v>
      </c>
      <c r="F29" s="213">
        <f>1196.2/F2</f>
        <v>23.923999999999999</v>
      </c>
      <c r="G29" s="213">
        <f>304.6/G2</f>
        <v>40.613333333333337</v>
      </c>
      <c r="H29" s="213">
        <f>344.9/13.4</f>
        <v>25.738805970149251</v>
      </c>
      <c r="I29" s="213"/>
      <c r="J29" s="214"/>
      <c r="K29" s="213"/>
      <c r="L29" s="213"/>
      <c r="M29" s="215"/>
      <c r="N29" s="215"/>
      <c r="O29" s="215"/>
      <c r="P29" s="215"/>
      <c r="Q29" s="215"/>
      <c r="R29" s="215"/>
      <c r="S29" s="215"/>
      <c r="U29" s="330"/>
    </row>
    <row r="30" spans="1:21" x14ac:dyDescent="0.3">
      <c r="A30" s="208" t="s">
        <v>108</v>
      </c>
      <c r="B30" s="209">
        <v>2025</v>
      </c>
      <c r="C30" s="210"/>
      <c r="D30" s="210"/>
      <c r="E30" s="210"/>
      <c r="F30" s="210"/>
      <c r="G30" s="210"/>
      <c r="H30" s="210"/>
      <c r="I30" s="210"/>
      <c r="J30" s="211"/>
      <c r="K30" s="210"/>
      <c r="L30" s="210"/>
      <c r="M30" s="212"/>
      <c r="N30" s="212"/>
      <c r="O30" s="212"/>
      <c r="P30" s="212"/>
      <c r="Q30" s="212"/>
      <c r="R30" s="212"/>
      <c r="S30" s="212"/>
    </row>
    <row r="31" spans="1:21" x14ac:dyDescent="0.3">
      <c r="A31" s="233" t="s">
        <v>108</v>
      </c>
      <c r="B31" s="234">
        <v>2026</v>
      </c>
      <c r="C31" s="213"/>
      <c r="D31" s="213"/>
      <c r="E31" s="213"/>
      <c r="F31" s="213"/>
      <c r="G31" s="213"/>
      <c r="H31" s="213"/>
      <c r="I31" s="213"/>
      <c r="J31" s="214"/>
      <c r="K31" s="213"/>
      <c r="L31" s="213"/>
      <c r="M31" s="215"/>
      <c r="N31" s="215"/>
      <c r="O31" s="215"/>
      <c r="P31" s="215"/>
      <c r="Q31" s="215"/>
      <c r="R31" s="215"/>
      <c r="S31" s="215"/>
    </row>
    <row r="32" spans="1:21" x14ac:dyDescent="0.3">
      <c r="A32" s="208" t="s">
        <v>109</v>
      </c>
      <c r="B32" s="209">
        <v>2025</v>
      </c>
      <c r="C32" s="210">
        <v>19.366</v>
      </c>
      <c r="D32" s="210">
        <v>27.433</v>
      </c>
      <c r="E32" s="210">
        <v>22.388000000000002</v>
      </c>
      <c r="F32" s="210">
        <v>18.46</v>
      </c>
      <c r="G32" s="210"/>
      <c r="H32" s="210">
        <v>25.82</v>
      </c>
      <c r="I32" s="210">
        <v>31.271999999999998</v>
      </c>
      <c r="J32" s="211">
        <v>35.058</v>
      </c>
      <c r="K32" s="210"/>
      <c r="L32" s="210"/>
      <c r="M32" s="212"/>
      <c r="N32" s="212"/>
      <c r="O32" s="212"/>
      <c r="P32" s="212"/>
      <c r="Q32" s="212"/>
      <c r="R32" s="212"/>
      <c r="S32" s="212"/>
    </row>
    <row r="33" spans="1:19" x14ac:dyDescent="0.3">
      <c r="A33" s="233" t="s">
        <v>109</v>
      </c>
      <c r="B33" s="234">
        <v>2026</v>
      </c>
      <c r="C33" s="213">
        <f>C32*1.039</f>
        <v>20.121274</v>
      </c>
      <c r="D33" s="213">
        <f t="shared" ref="D33:H33" si="1">D32*1.039</f>
        <v>28.502886999999998</v>
      </c>
      <c r="E33" s="213">
        <f t="shared" si="1"/>
        <v>23.261132</v>
      </c>
      <c r="F33" s="213">
        <f t="shared" si="1"/>
        <v>19.179939999999998</v>
      </c>
      <c r="G33" s="213">
        <f t="shared" si="1"/>
        <v>0</v>
      </c>
      <c r="H33" s="213">
        <f t="shared" si="1"/>
        <v>26.826979999999999</v>
      </c>
      <c r="I33" s="213" t="s">
        <v>278</v>
      </c>
      <c r="J33" s="214" t="s">
        <v>279</v>
      </c>
      <c r="K33" s="213"/>
      <c r="L33" s="213"/>
      <c r="M33" s="215"/>
      <c r="N33" s="215"/>
      <c r="O33" s="215"/>
      <c r="P33" s="215"/>
      <c r="Q33" s="215"/>
      <c r="R33" s="215"/>
      <c r="S33" s="215"/>
    </row>
    <row r="34" spans="1:19" x14ac:dyDescent="0.3">
      <c r="A34" s="208" t="s">
        <v>216</v>
      </c>
      <c r="B34" s="209">
        <v>2025</v>
      </c>
      <c r="C34" s="210">
        <v>19.276666666666664</v>
      </c>
      <c r="D34" s="210">
        <v>27.302597402597407</v>
      </c>
      <c r="E34" s="210">
        <v>14.848167539267015</v>
      </c>
      <c r="F34" s="210">
        <v>18.37</v>
      </c>
      <c r="G34" s="210">
        <v>31.106666666666669</v>
      </c>
      <c r="H34" s="210">
        <v>13.134328358208954</v>
      </c>
      <c r="I34" s="210"/>
      <c r="J34" s="211"/>
      <c r="K34" s="210"/>
      <c r="L34" s="210"/>
      <c r="M34" s="212"/>
      <c r="N34" s="212"/>
      <c r="O34" s="212"/>
      <c r="P34" s="212"/>
      <c r="Q34" s="212"/>
      <c r="R34" s="212"/>
      <c r="S34" s="212"/>
    </row>
    <row r="35" spans="1:19" x14ac:dyDescent="0.3">
      <c r="A35" s="233" t="s">
        <v>216</v>
      </c>
      <c r="B35" s="234">
        <v>2026</v>
      </c>
      <c r="C35" s="213">
        <f>785.7/C2</f>
        <v>26.19</v>
      </c>
      <c r="D35" s="213">
        <f>2865/D2</f>
        <v>37.20779220779221</v>
      </c>
      <c r="E35" s="213">
        <f>296.7/E2</f>
        <v>15.534031413612563</v>
      </c>
      <c r="F35" s="213">
        <f>1247.8/F2</f>
        <v>24.956</v>
      </c>
      <c r="G35" s="213">
        <f>317.1/G2</f>
        <v>42.28</v>
      </c>
      <c r="H35" s="213">
        <f>239.1/13.4</f>
        <v>17.843283582089551</v>
      </c>
      <c r="I35" s="213"/>
      <c r="J35" s="214"/>
      <c r="K35" s="213"/>
      <c r="L35" s="213"/>
      <c r="M35" s="215"/>
      <c r="N35" s="215"/>
      <c r="O35" s="215"/>
      <c r="P35" s="215"/>
      <c r="Q35" s="215"/>
      <c r="R35" s="215"/>
      <c r="S35" s="215"/>
    </row>
    <row r="36" spans="1:19" x14ac:dyDescent="0.3">
      <c r="A36" s="208" t="s">
        <v>274</v>
      </c>
      <c r="B36" s="209">
        <v>2025</v>
      </c>
      <c r="C36" s="301">
        <v>18.7</v>
      </c>
      <c r="D36" s="210">
        <v>26.498701298701299</v>
      </c>
      <c r="E36" s="210">
        <v>14.418848167539265</v>
      </c>
      <c r="F36" s="210">
        <v>17.832000000000001</v>
      </c>
      <c r="G36" s="210"/>
      <c r="H36" s="210">
        <v>16.380597014925371</v>
      </c>
      <c r="I36" s="210"/>
      <c r="J36" s="211"/>
      <c r="K36" s="210"/>
      <c r="L36" s="210"/>
      <c r="M36" s="212"/>
      <c r="N36" s="212"/>
      <c r="O36" s="212"/>
      <c r="P36" s="212"/>
      <c r="Q36" s="212"/>
      <c r="R36" s="212"/>
      <c r="S36" s="212"/>
    </row>
    <row r="37" spans="1:19" x14ac:dyDescent="0.3">
      <c r="A37" s="233" t="s">
        <v>274</v>
      </c>
      <c r="B37" s="234">
        <v>2026</v>
      </c>
      <c r="C37" s="302">
        <f>584.6/C2</f>
        <v>19.486666666666668</v>
      </c>
      <c r="D37" s="213">
        <f>2126.1/D2</f>
        <v>27.611688311688312</v>
      </c>
      <c r="E37" s="213">
        <f>287/E2</f>
        <v>15.026178010471202</v>
      </c>
      <c r="F37" s="213">
        <f>929/F2</f>
        <v>18.579999999999998</v>
      </c>
      <c r="G37" s="213"/>
      <c r="H37" s="213">
        <f>228.7/13.4</f>
        <v>17.067164179104477</v>
      </c>
      <c r="I37" s="213"/>
      <c r="J37" s="214"/>
      <c r="K37" s="213"/>
      <c r="L37" s="213"/>
      <c r="M37" s="215"/>
      <c r="N37" s="215"/>
      <c r="O37" s="215"/>
      <c r="P37" s="215"/>
      <c r="Q37" s="215"/>
      <c r="R37" s="215"/>
      <c r="S37" s="215"/>
    </row>
    <row r="38" spans="1:19" x14ac:dyDescent="0.3">
      <c r="A38" s="208" t="s">
        <v>110</v>
      </c>
      <c r="B38" s="209">
        <v>2025</v>
      </c>
      <c r="C38" s="301">
        <v>18.323333333333334</v>
      </c>
      <c r="D38" s="210">
        <v>25.796103896103894</v>
      </c>
      <c r="E38" s="210">
        <v>18.178010471204185</v>
      </c>
      <c r="F38" s="210">
        <v>17.36</v>
      </c>
      <c r="G38" s="210"/>
      <c r="H38" s="210">
        <v>20.955223880597014</v>
      </c>
      <c r="I38" s="210"/>
      <c r="J38" s="211"/>
      <c r="K38" s="210"/>
      <c r="L38" s="210"/>
      <c r="M38" s="212"/>
      <c r="N38" s="212"/>
      <c r="O38" s="212"/>
      <c r="P38" s="212"/>
      <c r="Q38" s="212"/>
      <c r="R38" s="212"/>
      <c r="S38" s="212"/>
    </row>
    <row r="39" spans="1:19" x14ac:dyDescent="0.3">
      <c r="A39" s="233" t="s">
        <v>110</v>
      </c>
      <c r="B39" s="234">
        <v>2026</v>
      </c>
      <c r="C39" s="302">
        <f>568.4/C2</f>
        <v>18.946666666666665</v>
      </c>
      <c r="D39" s="213">
        <f>2107.3/D2</f>
        <v>27.36753246753247</v>
      </c>
      <c r="E39" s="213">
        <f>354.1/E2</f>
        <v>18.539267015706805</v>
      </c>
      <c r="F39" s="213">
        <f>920.8/F2</f>
        <v>18.416</v>
      </c>
      <c r="G39" s="213">
        <f>229.47/G2</f>
        <v>30.596</v>
      </c>
      <c r="H39" s="213">
        <f>286.4/13.4</f>
        <v>21.373134328358205</v>
      </c>
      <c r="I39" s="213"/>
      <c r="J39" s="214"/>
      <c r="K39" s="213"/>
      <c r="L39" s="213"/>
      <c r="M39" s="215"/>
      <c r="N39" s="215"/>
      <c r="O39" s="215"/>
      <c r="P39" s="215"/>
      <c r="Q39" s="215"/>
      <c r="R39" s="215"/>
      <c r="S39" s="215"/>
    </row>
    <row r="40" spans="1:19" x14ac:dyDescent="0.3">
      <c r="A40" s="208" t="s">
        <v>111</v>
      </c>
      <c r="B40" s="209">
        <v>2025</v>
      </c>
      <c r="C40" s="301">
        <v>18.247</v>
      </c>
      <c r="D40" s="210">
        <v>25.849</v>
      </c>
      <c r="E40" s="210">
        <v>21.094999999999999</v>
      </c>
      <c r="F40" s="210">
        <v>17.73</v>
      </c>
      <c r="G40" s="210"/>
      <c r="H40" s="210">
        <v>24.798999999999999</v>
      </c>
      <c r="I40" s="210">
        <v>29.465</v>
      </c>
      <c r="J40" s="211">
        <v>33.671999999999997</v>
      </c>
      <c r="K40" s="210"/>
      <c r="L40" s="210"/>
      <c r="M40" s="212"/>
      <c r="N40" s="212"/>
      <c r="O40" s="212"/>
      <c r="P40" s="212"/>
      <c r="Q40" s="212"/>
      <c r="R40" s="212"/>
      <c r="S40" s="212"/>
    </row>
    <row r="41" spans="1:19" x14ac:dyDescent="0.3">
      <c r="A41" s="233" t="s">
        <v>111</v>
      </c>
      <c r="B41" s="234">
        <v>2026</v>
      </c>
      <c r="C41" s="302">
        <f>C40*1.045</f>
        <v>19.068114999999999</v>
      </c>
      <c r="D41" s="302">
        <f t="shared" ref="D41:H41" si="2">D40*1.045</f>
        <v>27.012204999999998</v>
      </c>
      <c r="E41" s="302">
        <f t="shared" si="2"/>
        <v>22.044274999999999</v>
      </c>
      <c r="F41" s="302">
        <f t="shared" si="2"/>
        <v>18.527850000000001</v>
      </c>
      <c r="G41" s="302">
        <f t="shared" si="2"/>
        <v>0</v>
      </c>
      <c r="H41" s="302">
        <f t="shared" si="2"/>
        <v>25.914954999999999</v>
      </c>
      <c r="I41" s="213">
        <v>30.791</v>
      </c>
      <c r="J41" s="214">
        <v>35.186999999999998</v>
      </c>
      <c r="K41" s="213"/>
      <c r="L41" s="213"/>
      <c r="M41" s="215"/>
      <c r="N41" s="215"/>
      <c r="O41" s="215"/>
      <c r="P41" s="215"/>
      <c r="Q41" s="215"/>
      <c r="R41" s="215"/>
      <c r="S41" s="215"/>
    </row>
    <row r="42" spans="1:19" x14ac:dyDescent="0.3">
      <c r="A42" s="208" t="s">
        <v>112</v>
      </c>
      <c r="B42" s="209">
        <v>2025</v>
      </c>
      <c r="C42" s="301">
        <v>71.889699224999987</v>
      </c>
      <c r="D42" s="217"/>
      <c r="E42" s="217"/>
      <c r="F42" s="217"/>
      <c r="G42" s="217"/>
      <c r="H42" s="217"/>
      <c r="I42" s="217"/>
      <c r="J42" s="211"/>
      <c r="K42" s="218">
        <v>57.13111509838447</v>
      </c>
      <c r="L42" s="218">
        <v>56.761625839940997</v>
      </c>
      <c r="M42" s="236">
        <v>1112676.9217453124</v>
      </c>
      <c r="N42" s="236">
        <v>155</v>
      </c>
      <c r="O42" s="236">
        <v>282</v>
      </c>
      <c r="P42" s="236">
        <v>267</v>
      </c>
      <c r="Q42" s="236">
        <v>462</v>
      </c>
      <c r="R42" s="236">
        <v>447</v>
      </c>
      <c r="S42" s="236"/>
    </row>
    <row r="43" spans="1:19" x14ac:dyDescent="0.3">
      <c r="A43" s="233" t="s">
        <v>112</v>
      </c>
      <c r="B43" s="234">
        <v>2026</v>
      </c>
      <c r="C43" s="276">
        <f>C42*1.047</f>
        <v>75.268515088574986</v>
      </c>
      <c r="D43" s="237"/>
      <c r="E43" s="237"/>
      <c r="F43" s="237"/>
      <c r="G43" s="237"/>
      <c r="H43" s="237"/>
      <c r="I43" s="237"/>
      <c r="J43" s="214"/>
      <c r="K43" s="219">
        <f>($M43/$N43+O43*$C43)/Q43</f>
        <v>61.978346289104522</v>
      </c>
      <c r="L43" s="219">
        <f>($M43/$N43+P43*$C43)/R43</f>
        <v>61.532367470330342</v>
      </c>
      <c r="M43" s="238">
        <f>675300*1.15*1.125*1.125*1.07*1.058*1.032</f>
        <v>1148282.5832411624</v>
      </c>
      <c r="N43" s="324">
        <v>155</v>
      </c>
      <c r="O43" s="324">
        <v>282</v>
      </c>
      <c r="P43" s="324">
        <v>267</v>
      </c>
      <c r="Q43" s="324">
        <v>462</v>
      </c>
      <c r="R43" s="324">
        <v>447</v>
      </c>
      <c r="S43" s="215"/>
    </row>
    <row r="44" spans="1:19" x14ac:dyDescent="0.3">
      <c r="A44" s="208" t="s">
        <v>113</v>
      </c>
      <c r="B44" s="209">
        <v>2025</v>
      </c>
      <c r="C44" s="301">
        <v>61.814602199999996</v>
      </c>
      <c r="D44" s="217"/>
      <c r="E44" s="217"/>
      <c r="F44" s="217"/>
      <c r="G44" s="217"/>
      <c r="H44" s="217"/>
      <c r="I44" s="217"/>
      <c r="J44" s="211"/>
      <c r="K44" s="210"/>
      <c r="L44" s="210"/>
      <c r="M44" s="212"/>
      <c r="N44" s="212"/>
      <c r="O44" s="212"/>
      <c r="P44" s="212"/>
      <c r="Q44" s="212"/>
      <c r="R44" s="212"/>
      <c r="S44" s="212"/>
    </row>
    <row r="45" spans="1:19" x14ac:dyDescent="0.3">
      <c r="A45" s="233" t="s">
        <v>113</v>
      </c>
      <c r="B45" s="234">
        <v>2026</v>
      </c>
      <c r="C45" s="276">
        <f>C44*1.047</f>
        <v>64.719888503399986</v>
      </c>
      <c r="D45" s="237"/>
      <c r="E45" s="237"/>
      <c r="F45" s="237"/>
      <c r="G45" s="237"/>
      <c r="H45" s="237"/>
      <c r="I45" s="237"/>
      <c r="J45" s="214"/>
      <c r="K45" s="213"/>
      <c r="L45" s="213"/>
      <c r="M45" s="215"/>
      <c r="N45" s="215"/>
      <c r="O45" s="215"/>
      <c r="P45" s="215"/>
      <c r="Q45" s="215"/>
      <c r="R45" s="215"/>
      <c r="S45" s="215"/>
    </row>
    <row r="46" spans="1:19" x14ac:dyDescent="0.3">
      <c r="A46" s="208" t="s">
        <v>114</v>
      </c>
      <c r="B46" s="209">
        <v>2025</v>
      </c>
      <c r="C46" s="301">
        <v>56.467508774999992</v>
      </c>
      <c r="D46" s="217"/>
      <c r="E46" s="217"/>
      <c r="F46" s="217"/>
      <c r="G46" s="217"/>
      <c r="H46" s="217"/>
      <c r="I46" s="217"/>
      <c r="J46" s="211"/>
      <c r="K46" s="218">
        <v>48.208323799683178</v>
      </c>
      <c r="L46" s="218">
        <v>48.029955303028245</v>
      </c>
      <c r="M46" s="236">
        <v>1112676.9217453124</v>
      </c>
      <c r="N46" s="236">
        <v>155</v>
      </c>
      <c r="O46" s="236">
        <v>282</v>
      </c>
      <c r="P46" s="236">
        <v>267</v>
      </c>
      <c r="Q46" s="236">
        <v>462</v>
      </c>
      <c r="R46" s="236">
        <v>447</v>
      </c>
      <c r="S46" s="236"/>
    </row>
    <row r="47" spans="1:19" x14ac:dyDescent="0.3">
      <c r="A47" s="233" t="s">
        <v>114</v>
      </c>
      <c r="B47" s="234">
        <v>2026</v>
      </c>
      <c r="C47" s="276">
        <f>C46*1.047</f>
        <v>59.121481687424989</v>
      </c>
      <c r="D47" s="237"/>
      <c r="E47" s="237"/>
      <c r="F47" s="237"/>
      <c r="G47" s="237"/>
      <c r="H47" s="237"/>
      <c r="I47" s="237"/>
      <c r="J47" s="214"/>
      <c r="K47" s="219">
        <f>($M47/$N47+O47*$C47)/Q47</f>
        <v>52.122364862428562</v>
      </c>
      <c r="L47" s="219">
        <f>($M47/$N47+P47*$C47)/R47</f>
        <v>51.88749517031458</v>
      </c>
      <c r="M47" s="324">
        <f>M43</f>
        <v>1148282.5832411624</v>
      </c>
      <c r="N47" s="324">
        <v>155</v>
      </c>
      <c r="O47" s="324">
        <v>282</v>
      </c>
      <c r="P47" s="324">
        <v>267</v>
      </c>
      <c r="Q47" s="324">
        <v>462</v>
      </c>
      <c r="R47" s="324">
        <v>447</v>
      </c>
      <c r="S47" s="215"/>
    </row>
    <row r="48" spans="1:19" x14ac:dyDescent="0.3">
      <c r="A48" s="222"/>
      <c r="B48" s="223"/>
      <c r="C48" s="224"/>
      <c r="D48" s="224"/>
      <c r="E48" s="224"/>
      <c r="F48" s="224"/>
      <c r="G48" s="224"/>
      <c r="H48" s="224"/>
      <c r="I48" s="224"/>
      <c r="J48" s="239"/>
      <c r="K48" s="225"/>
      <c r="L48" s="225"/>
      <c r="M48" s="240"/>
      <c r="N48" s="240"/>
      <c r="O48" s="240"/>
      <c r="P48" s="240"/>
      <c r="Q48" s="240"/>
      <c r="R48" s="240"/>
      <c r="S48" s="240"/>
    </row>
    <row r="49" spans="1:19" x14ac:dyDescent="0.3">
      <c r="A49" s="208" t="s">
        <v>166</v>
      </c>
      <c r="B49" s="209">
        <v>2025</v>
      </c>
      <c r="C49" s="210"/>
      <c r="D49" s="210"/>
      <c r="E49" s="210"/>
      <c r="F49" s="210"/>
      <c r="G49" s="210"/>
      <c r="H49" s="210"/>
      <c r="I49" s="217"/>
      <c r="J49" s="211"/>
      <c r="K49" s="210"/>
      <c r="L49" s="210"/>
      <c r="M49" s="212"/>
      <c r="N49" s="212"/>
      <c r="O49" s="212"/>
      <c r="P49" s="212"/>
      <c r="Q49" s="212"/>
      <c r="R49" s="212"/>
      <c r="S49" s="212"/>
    </row>
    <row r="50" spans="1:19" x14ac:dyDescent="0.3">
      <c r="A50" s="233" t="s">
        <v>166</v>
      </c>
      <c r="B50" s="234">
        <v>2026</v>
      </c>
      <c r="C50" s="213"/>
      <c r="D50" s="213"/>
      <c r="E50" s="213"/>
      <c r="F50" s="213"/>
      <c r="G50" s="213"/>
      <c r="H50" s="213"/>
      <c r="I50" s="237"/>
      <c r="J50" s="214"/>
      <c r="K50" s="213"/>
      <c r="L50" s="213"/>
      <c r="M50" s="215"/>
      <c r="N50" s="215"/>
      <c r="O50" s="215"/>
      <c r="P50" s="215"/>
      <c r="Q50" s="215"/>
      <c r="R50" s="215"/>
      <c r="S50" s="215"/>
    </row>
    <row r="51" spans="1:19" x14ac:dyDescent="0.3">
      <c r="A51" s="208" t="s">
        <v>167</v>
      </c>
      <c r="B51" s="209">
        <v>2025</v>
      </c>
      <c r="C51" s="210"/>
      <c r="D51" s="210"/>
      <c r="E51" s="210"/>
      <c r="F51" s="210"/>
      <c r="G51" s="210"/>
      <c r="H51" s="210"/>
      <c r="I51" s="217"/>
      <c r="J51" s="211"/>
      <c r="K51" s="210"/>
      <c r="L51" s="210"/>
      <c r="M51" s="212"/>
      <c r="N51" s="212"/>
      <c r="O51" s="212"/>
      <c r="P51" s="212"/>
      <c r="Q51" s="212"/>
      <c r="R51" s="212"/>
      <c r="S51" s="212"/>
    </row>
    <row r="52" spans="1:19" x14ac:dyDescent="0.3">
      <c r="A52" s="233" t="s">
        <v>167</v>
      </c>
      <c r="B52" s="234">
        <v>2026</v>
      </c>
      <c r="C52" s="213"/>
      <c r="D52" s="213"/>
      <c r="E52" s="213"/>
      <c r="F52" s="213"/>
      <c r="G52" s="213"/>
      <c r="H52" s="213"/>
      <c r="I52" s="237"/>
      <c r="J52" s="214"/>
      <c r="K52" s="213"/>
      <c r="L52" s="213"/>
      <c r="M52" s="215"/>
      <c r="N52" s="215"/>
      <c r="O52" s="215"/>
      <c r="P52" s="215"/>
      <c r="Q52" s="215"/>
      <c r="R52" s="215"/>
      <c r="S52" s="215"/>
    </row>
    <row r="53" spans="1:19" x14ac:dyDescent="0.3">
      <c r="A53" s="208" t="s">
        <v>168</v>
      </c>
      <c r="B53" s="209">
        <v>2025</v>
      </c>
      <c r="C53" s="210"/>
      <c r="D53" s="210"/>
      <c r="E53" s="210"/>
      <c r="F53" s="210"/>
      <c r="G53" s="210"/>
      <c r="H53" s="210"/>
      <c r="I53" s="217"/>
      <c r="J53" s="211"/>
      <c r="K53" s="210"/>
      <c r="L53" s="210"/>
      <c r="M53" s="212"/>
      <c r="N53" s="212"/>
      <c r="O53" s="212"/>
      <c r="P53" s="212"/>
      <c r="Q53" s="212"/>
      <c r="R53" s="212"/>
      <c r="S53" s="331">
        <f>504.3/30</f>
        <v>16.809999999999999</v>
      </c>
    </row>
    <row r="54" spans="1:19" x14ac:dyDescent="0.3">
      <c r="A54" s="233" t="s">
        <v>168</v>
      </c>
      <c r="B54" s="234">
        <v>2026</v>
      </c>
      <c r="C54" s="213"/>
      <c r="D54" s="213"/>
      <c r="E54" s="213"/>
      <c r="F54" s="213"/>
      <c r="G54" s="213"/>
      <c r="H54" s="213"/>
      <c r="I54" s="237"/>
      <c r="J54" s="214"/>
      <c r="K54" s="213"/>
      <c r="L54" s="213"/>
      <c r="M54" s="215"/>
      <c r="N54" s="215"/>
      <c r="O54" s="215"/>
      <c r="P54" s="215"/>
      <c r="Q54" s="215"/>
      <c r="R54" s="215"/>
      <c r="S54" s="213">
        <f>523.5/30</f>
        <v>17.45</v>
      </c>
    </row>
    <row r="55" spans="1:19" x14ac:dyDescent="0.3">
      <c r="A55" s="208" t="s">
        <v>169</v>
      </c>
      <c r="B55" s="209">
        <v>2025</v>
      </c>
      <c r="C55" s="210"/>
      <c r="D55" s="210"/>
      <c r="E55" s="210"/>
      <c r="F55" s="210"/>
      <c r="G55" s="210"/>
      <c r="H55" s="210"/>
      <c r="I55" s="217"/>
      <c r="J55" s="211"/>
      <c r="K55" s="210"/>
      <c r="L55" s="210"/>
      <c r="M55" s="212"/>
      <c r="N55" s="212"/>
      <c r="O55" s="212"/>
      <c r="P55" s="212"/>
      <c r="Q55" s="212"/>
      <c r="R55" s="212"/>
      <c r="S55" s="331">
        <f>537.4/30</f>
        <v>17.913333333333334</v>
      </c>
    </row>
    <row r="56" spans="1:19" x14ac:dyDescent="0.3">
      <c r="A56" s="233" t="s">
        <v>169</v>
      </c>
      <c r="B56" s="234">
        <v>2026</v>
      </c>
      <c r="C56" s="213"/>
      <c r="D56" s="213"/>
      <c r="E56" s="213"/>
      <c r="F56" s="213"/>
      <c r="G56" s="213"/>
      <c r="H56" s="213"/>
      <c r="I56" s="237"/>
      <c r="J56" s="214"/>
      <c r="K56" s="213"/>
      <c r="L56" s="213"/>
      <c r="M56" s="215"/>
      <c r="N56" s="215"/>
      <c r="O56" s="215"/>
      <c r="P56" s="215"/>
      <c r="Q56" s="215"/>
      <c r="R56" s="215"/>
      <c r="S56" s="213">
        <f>557.8/30</f>
        <v>18.59333333333333</v>
      </c>
    </row>
    <row r="57" spans="1:19" x14ac:dyDescent="0.3">
      <c r="A57" s="226"/>
      <c r="B57" s="227"/>
      <c r="C57" s="228"/>
      <c r="D57" s="228"/>
      <c r="E57" s="228"/>
      <c r="F57" s="228"/>
      <c r="G57" s="228"/>
      <c r="H57" s="228"/>
      <c r="I57" s="228"/>
      <c r="J57" s="241"/>
      <c r="K57" s="229"/>
      <c r="L57" s="229"/>
      <c r="M57" s="242"/>
      <c r="N57" s="242"/>
      <c r="O57" s="242"/>
      <c r="P57" s="242"/>
      <c r="Q57" s="242"/>
      <c r="R57" s="242"/>
      <c r="S57" s="242"/>
    </row>
    <row r="58" spans="1:19" ht="43.2" x14ac:dyDescent="0.3">
      <c r="A58" s="216" t="s">
        <v>176</v>
      </c>
      <c r="B58" s="209">
        <v>2025</v>
      </c>
      <c r="C58" s="210">
        <v>23.279999999999998</v>
      </c>
      <c r="D58" s="210">
        <v>25.362337662337662</v>
      </c>
      <c r="E58" s="210">
        <v>20.69633507853403</v>
      </c>
      <c r="F58" s="210">
        <v>22.186</v>
      </c>
      <c r="G58" s="210">
        <v>28.946666666666665</v>
      </c>
      <c r="H58" s="210">
        <v>23.865671641791046</v>
      </c>
      <c r="I58" s="217"/>
      <c r="J58" s="211"/>
      <c r="K58" s="210"/>
      <c r="L58" s="210"/>
      <c r="M58" s="212"/>
      <c r="N58" s="212"/>
      <c r="O58" s="212"/>
      <c r="P58" s="212"/>
      <c r="Q58" s="212"/>
      <c r="R58" s="212"/>
      <c r="S58" s="212"/>
    </row>
    <row r="59" spans="1:19" ht="43.2" x14ac:dyDescent="0.3">
      <c r="A59" s="235" t="s">
        <v>176</v>
      </c>
      <c r="B59" s="234">
        <v>2026</v>
      </c>
      <c r="C59" s="213">
        <f>753.1/C2</f>
        <v>25.103333333333335</v>
      </c>
      <c r="D59" s="213">
        <f>2106/D2</f>
        <v>27.350649350649352</v>
      </c>
      <c r="E59" s="213">
        <f>426.3/E2</f>
        <v>22.319371727748688</v>
      </c>
      <c r="F59" s="213">
        <f>1196.3/F2</f>
        <v>23.925999999999998</v>
      </c>
      <c r="G59" s="213">
        <f>234.1/G2</f>
        <v>31.213333333333331</v>
      </c>
      <c r="H59" s="213">
        <f>334.9/13.4</f>
        <v>24.992537313432834</v>
      </c>
      <c r="I59" s="237"/>
      <c r="J59" s="214"/>
      <c r="K59" s="213"/>
      <c r="L59" s="213"/>
      <c r="M59" s="215"/>
      <c r="N59" s="215"/>
      <c r="O59" s="215"/>
      <c r="P59" s="215"/>
      <c r="Q59" s="215"/>
      <c r="R59" s="215"/>
      <c r="S59" s="213"/>
    </row>
    <row r="60" spans="1:19" x14ac:dyDescent="0.3">
      <c r="A60" s="226"/>
      <c r="B60" s="227"/>
      <c r="C60" s="228"/>
      <c r="D60" s="228"/>
      <c r="E60" s="228"/>
      <c r="F60" s="228"/>
      <c r="G60" s="228"/>
      <c r="H60" s="228"/>
      <c r="I60" s="228"/>
      <c r="J60" s="241"/>
      <c r="K60" s="229"/>
      <c r="L60" s="229"/>
      <c r="M60" s="242"/>
      <c r="N60" s="242"/>
      <c r="O60" s="242"/>
      <c r="P60" s="242"/>
      <c r="Q60" s="242"/>
      <c r="R60" s="242"/>
      <c r="S60" s="242"/>
    </row>
    <row r="61" spans="1:19" x14ac:dyDescent="0.3">
      <c r="A61" s="208" t="s">
        <v>217</v>
      </c>
      <c r="B61" s="209">
        <v>2025</v>
      </c>
      <c r="C61" s="210"/>
      <c r="D61" s="210"/>
      <c r="E61" s="210"/>
      <c r="F61" s="210"/>
      <c r="G61" s="210"/>
      <c r="H61" s="210"/>
      <c r="I61" s="210"/>
      <c r="J61" s="211"/>
      <c r="K61" s="210"/>
      <c r="L61" s="210"/>
      <c r="M61" s="212"/>
      <c r="N61" s="212"/>
      <c r="O61" s="212"/>
      <c r="P61" s="212"/>
      <c r="Q61" s="212"/>
      <c r="R61" s="212"/>
      <c r="S61" s="212"/>
    </row>
    <row r="62" spans="1:19" x14ac:dyDescent="0.3">
      <c r="A62" s="233" t="s">
        <v>217</v>
      </c>
      <c r="B62" s="234">
        <v>2026</v>
      </c>
      <c r="C62" s="213"/>
      <c r="D62" s="213"/>
      <c r="E62" s="213"/>
      <c r="F62" s="213"/>
      <c r="G62" s="213"/>
      <c r="H62" s="213"/>
      <c r="I62" s="213"/>
      <c r="J62" s="214"/>
      <c r="K62" s="213"/>
      <c r="L62" s="213"/>
      <c r="M62" s="215"/>
      <c r="N62" s="215"/>
      <c r="O62" s="215"/>
      <c r="P62" s="215"/>
      <c r="Q62" s="215"/>
      <c r="R62" s="215"/>
      <c r="S62" s="215"/>
    </row>
    <row r="63" spans="1:19" x14ac:dyDescent="0.3">
      <c r="A63" s="208" t="s">
        <v>237</v>
      </c>
      <c r="B63" s="209">
        <v>2025</v>
      </c>
      <c r="C63" s="210">
        <v>18.971</v>
      </c>
      <c r="D63" s="210">
        <v>27.376999999999999</v>
      </c>
      <c r="E63" s="210"/>
      <c r="F63" s="210">
        <v>18.082000000000001</v>
      </c>
      <c r="G63" s="210"/>
      <c r="H63" s="210"/>
      <c r="I63" s="210"/>
      <c r="J63" s="211"/>
      <c r="K63" s="210"/>
      <c r="L63" s="210"/>
      <c r="M63" s="212"/>
      <c r="N63" s="212"/>
      <c r="O63" s="212"/>
      <c r="P63" s="212"/>
      <c r="Q63" s="212"/>
      <c r="R63" s="212"/>
      <c r="S63" s="212"/>
    </row>
    <row r="64" spans="1:19" x14ac:dyDescent="0.3">
      <c r="A64" s="233" t="s">
        <v>237</v>
      </c>
      <c r="B64" s="234">
        <v>2026</v>
      </c>
      <c r="C64" s="213">
        <f>594.8/C2</f>
        <v>19.826666666666664</v>
      </c>
      <c r="D64" s="213">
        <f>2209.9/D2</f>
        <v>28.700000000000003</v>
      </c>
      <c r="E64" s="213"/>
      <c r="F64" s="354">
        <f>944.8/F2</f>
        <v>18.896000000000001</v>
      </c>
      <c r="G64" s="213"/>
      <c r="H64" s="213"/>
      <c r="I64" s="213"/>
      <c r="J64" s="214"/>
      <c r="K64" s="213"/>
      <c r="L64" s="213"/>
      <c r="M64" s="215"/>
      <c r="N64" s="215"/>
      <c r="O64" s="215"/>
      <c r="P64" s="215"/>
      <c r="Q64" s="215"/>
      <c r="R64" s="215"/>
      <c r="S64" s="215"/>
    </row>
  </sheetData>
  <sheetProtection algorithmName="SHA-512" hashValue="TI5a804uZ7wldYPGOGuOCJGpojDRX/RXPzQvvCaLO6Q8kZF6jvtfBJQOQKdT/cHt+UNixbJEqntlAuuKDn1jMQ==" saltValue="p1ddUFykTU9w4U5ClkHjMg=="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Physician Comparative Tariffs</vt:lpstr>
      <vt:lpstr>RCFs</vt:lpstr>
      <vt:lpstr>'Physician Comparative Tariffs'!Print_Area</vt:lpstr>
      <vt:lpstr>'Physician 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2023-02-06T13:46:43Z</cp:lastPrinted>
  <dcterms:created xsi:type="dcterms:W3CDTF">2007-01-02T12:57:15Z</dcterms:created>
  <dcterms:modified xsi:type="dcterms:W3CDTF">2026-02-06T09:25:22Z</dcterms:modified>
</cp:coreProperties>
</file>