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et\Documents\Tariffs\2026 Tariffs\HealthMan\"/>
    </mc:Choice>
  </mc:AlternateContent>
  <xr:revisionPtr revIDLastSave="0" documentId="13_ncr:1_{AA12504F-4C13-474E-913E-96703A8363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P Comparitive Tariffs" sheetId="1" r:id="rId1"/>
    <sheet name="RCF" sheetId="2" r:id="rId2"/>
  </sheets>
  <externalReferences>
    <externalReference r:id="rId3"/>
  </externalReferences>
  <definedNames>
    <definedName name="PredDLR">[1]Parameters!$C$45</definedName>
    <definedName name="PredOHR">[1]Parameters!$C$38</definedName>
    <definedName name="_xlnm.Print_Area" localSheetId="0">'GP Comparitive Tariffs'!$A$1:$AE$141</definedName>
    <definedName name="_xlnm.Print_Titles" localSheetId="0">'GP Comparitive Tariffs'!$A:$E,'GP Comparitive Tariffs'!$1:$6</definedName>
    <definedName name="VAT">[1]Parameters!$C$20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" i="2" l="1"/>
  <c r="D64" i="2"/>
  <c r="C64" i="2"/>
  <c r="H59" i="2"/>
  <c r="G59" i="2"/>
  <c r="F59" i="2"/>
  <c r="E59" i="2"/>
  <c r="D59" i="2"/>
  <c r="C59" i="2"/>
  <c r="S56" i="2"/>
  <c r="S55" i="2"/>
  <c r="S54" i="2"/>
  <c r="S53" i="2"/>
  <c r="M47" i="2"/>
  <c r="C47" i="2"/>
  <c r="L47" i="2" s="1"/>
  <c r="C45" i="2"/>
  <c r="M43" i="2"/>
  <c r="C43" i="2"/>
  <c r="L43" i="2" s="1"/>
  <c r="H41" i="2"/>
  <c r="G41" i="2"/>
  <c r="F41" i="2"/>
  <c r="E41" i="2"/>
  <c r="D41" i="2"/>
  <c r="C41" i="2"/>
  <c r="H39" i="2"/>
  <c r="G39" i="2"/>
  <c r="F39" i="2"/>
  <c r="E39" i="2"/>
  <c r="D39" i="2"/>
  <c r="C39" i="2"/>
  <c r="H37" i="2"/>
  <c r="F37" i="2"/>
  <c r="E37" i="2"/>
  <c r="D37" i="2"/>
  <c r="C37" i="2"/>
  <c r="H35" i="2"/>
  <c r="G35" i="2"/>
  <c r="F35" i="2"/>
  <c r="E35" i="2"/>
  <c r="D35" i="2"/>
  <c r="C35" i="2"/>
  <c r="H33" i="2"/>
  <c r="G33" i="2"/>
  <c r="F33" i="2"/>
  <c r="E33" i="2"/>
  <c r="D33" i="2"/>
  <c r="C33" i="2"/>
  <c r="H29" i="2"/>
  <c r="G29" i="2"/>
  <c r="F29" i="2"/>
  <c r="E29" i="2"/>
  <c r="D29" i="2"/>
  <c r="C29" i="2"/>
  <c r="H28" i="2"/>
  <c r="G28" i="2"/>
  <c r="F28" i="2"/>
  <c r="E28" i="2"/>
  <c r="D28" i="2"/>
  <c r="C28" i="2"/>
  <c r="H26" i="2"/>
  <c r="G26" i="2"/>
  <c r="F26" i="2"/>
  <c r="E26" i="2"/>
  <c r="D26" i="2"/>
  <c r="C26" i="2"/>
  <c r="S25" i="2"/>
  <c r="R25" i="2"/>
  <c r="Q25" i="2"/>
  <c r="P25" i="2"/>
  <c r="O25" i="2"/>
  <c r="N25" i="2"/>
  <c r="M25" i="2"/>
  <c r="L25" i="2"/>
  <c r="K25" i="2"/>
  <c r="H25" i="2"/>
  <c r="G25" i="2"/>
  <c r="F25" i="2"/>
  <c r="E25" i="2"/>
  <c r="D25" i="2"/>
  <c r="C25" i="2"/>
  <c r="H23" i="2"/>
  <c r="G23" i="2"/>
  <c r="F23" i="2"/>
  <c r="E23" i="2"/>
  <c r="D23" i="2"/>
  <c r="C23" i="2"/>
  <c r="H22" i="2"/>
  <c r="G22" i="2"/>
  <c r="F22" i="2"/>
  <c r="E22" i="2"/>
  <c r="D22" i="2"/>
  <c r="C22" i="2"/>
  <c r="H13" i="2"/>
  <c r="G13" i="2"/>
  <c r="F13" i="2"/>
  <c r="E13" i="2"/>
  <c r="D13" i="2"/>
  <c r="C13" i="2"/>
  <c r="G9" i="2"/>
  <c r="G7" i="2"/>
  <c r="F7" i="2"/>
  <c r="D7" i="2"/>
  <c r="C7" i="2"/>
  <c r="C5" i="2"/>
  <c r="K43" i="2" l="1"/>
  <c r="K47" i="2"/>
  <c r="P17" i="1"/>
  <c r="H17" i="1" l="1"/>
  <c r="AB31" i="1" l="1"/>
  <c r="X17" i="1" l="1"/>
  <c r="V17" i="1" l="1"/>
  <c r="T17" i="1"/>
  <c r="G10" i="1"/>
  <c r="E135" i="1" l="1"/>
  <c r="D135" i="1" s="1"/>
  <c r="G135" i="1"/>
  <c r="F135" i="1" s="1"/>
  <c r="I135" i="1"/>
  <c r="H135" i="1" s="1"/>
  <c r="K135" i="1"/>
  <c r="J135" i="1" s="1"/>
  <c r="M135" i="1"/>
  <c r="L135" i="1" s="1"/>
  <c r="O135" i="1"/>
  <c r="N135" i="1" s="1"/>
  <c r="Q135" i="1"/>
  <c r="P135" i="1" s="1"/>
  <c r="S135" i="1"/>
  <c r="R135" i="1" s="1"/>
  <c r="U135" i="1"/>
  <c r="T135" i="1" s="1"/>
  <c r="W135" i="1"/>
  <c r="V135" i="1" s="1"/>
  <c r="Y135" i="1"/>
  <c r="X135" i="1" s="1"/>
  <c r="AA135" i="1"/>
  <c r="Z135" i="1" s="1"/>
  <c r="AC135" i="1"/>
  <c r="AB135" i="1" s="1"/>
  <c r="AE135" i="1"/>
  <c r="AD135" i="1" s="1"/>
  <c r="AE134" i="1"/>
  <c r="AD134" i="1" s="1"/>
  <c r="AC134" i="1"/>
  <c r="AB134" i="1" s="1"/>
  <c r="AA134" i="1"/>
  <c r="Z134" i="1" s="1"/>
  <c r="Y134" i="1"/>
  <c r="X134" i="1" s="1"/>
  <c r="W134" i="1"/>
  <c r="V134" i="1" s="1"/>
  <c r="U134" i="1"/>
  <c r="T134" i="1" s="1"/>
  <c r="S134" i="1"/>
  <c r="R134" i="1" s="1"/>
  <c r="Q134" i="1"/>
  <c r="P134" i="1" s="1"/>
  <c r="O134" i="1"/>
  <c r="N134" i="1" s="1"/>
  <c r="M134" i="1"/>
  <c r="L134" i="1" s="1"/>
  <c r="K134" i="1"/>
  <c r="J134" i="1" s="1"/>
  <c r="I134" i="1"/>
  <c r="H134" i="1" s="1"/>
  <c r="G134" i="1"/>
  <c r="F134" i="1" s="1"/>
  <c r="E134" i="1"/>
  <c r="D134" i="1" s="1"/>
  <c r="G132" i="1"/>
  <c r="F132" i="1" s="1"/>
  <c r="I132" i="1"/>
  <c r="H132" i="1" s="1"/>
  <c r="K132" i="1"/>
  <c r="J132" i="1" s="1"/>
  <c r="M132" i="1"/>
  <c r="L132" i="1" s="1"/>
  <c r="O132" i="1"/>
  <c r="N132" i="1" s="1"/>
  <c r="Q132" i="1"/>
  <c r="P132" i="1" s="1"/>
  <c r="S132" i="1"/>
  <c r="R132" i="1" s="1"/>
  <c r="U132" i="1"/>
  <c r="T132" i="1" s="1"/>
  <c r="W132" i="1"/>
  <c r="V132" i="1" s="1"/>
  <c r="Y132" i="1"/>
  <c r="X132" i="1" s="1"/>
  <c r="AA132" i="1"/>
  <c r="Z132" i="1" s="1"/>
  <c r="AC132" i="1"/>
  <c r="AB132" i="1" s="1"/>
  <c r="AE132" i="1"/>
  <c r="AD132" i="1" s="1"/>
  <c r="G123" i="1"/>
  <c r="F123" i="1" s="1"/>
  <c r="I123" i="1"/>
  <c r="H123" i="1" s="1"/>
  <c r="K123" i="1"/>
  <c r="J123" i="1" s="1"/>
  <c r="M123" i="1"/>
  <c r="L123" i="1" s="1"/>
  <c r="O123" i="1"/>
  <c r="N123" i="1" s="1"/>
  <c r="Q123" i="1"/>
  <c r="P123" i="1" s="1"/>
  <c r="S123" i="1"/>
  <c r="R123" i="1" s="1"/>
  <c r="U123" i="1"/>
  <c r="T123" i="1" s="1"/>
  <c r="W123" i="1"/>
  <c r="V123" i="1" s="1"/>
  <c r="Y123" i="1"/>
  <c r="X123" i="1" s="1"/>
  <c r="AA123" i="1"/>
  <c r="Z123" i="1" s="1"/>
  <c r="AC123" i="1"/>
  <c r="AB123" i="1" s="1"/>
  <c r="AE123" i="1"/>
  <c r="E123" i="1" s="1"/>
  <c r="D123" i="1" s="1"/>
  <c r="AE116" i="1"/>
  <c r="E116" i="1" s="1"/>
  <c r="D116" i="1" s="1"/>
  <c r="AC116" i="1"/>
  <c r="AB116" i="1" s="1"/>
  <c r="AA116" i="1"/>
  <c r="Z116" i="1" s="1"/>
  <c r="Y116" i="1"/>
  <c r="X116" i="1" s="1"/>
  <c r="W116" i="1"/>
  <c r="V116" i="1" s="1"/>
  <c r="U116" i="1"/>
  <c r="T116" i="1" s="1"/>
  <c r="S116" i="1"/>
  <c r="R116" i="1" s="1"/>
  <c r="Q116" i="1"/>
  <c r="P116" i="1" s="1"/>
  <c r="O116" i="1"/>
  <c r="N116" i="1" s="1"/>
  <c r="M116" i="1"/>
  <c r="L116" i="1" s="1"/>
  <c r="K116" i="1"/>
  <c r="J116" i="1" s="1"/>
  <c r="I116" i="1"/>
  <c r="H116" i="1" s="1"/>
  <c r="G116" i="1"/>
  <c r="F116" i="1" s="1"/>
  <c r="AE115" i="1"/>
  <c r="AD115" i="1" s="1"/>
  <c r="AC115" i="1"/>
  <c r="AB115" i="1" s="1"/>
  <c r="AA115" i="1"/>
  <c r="Z115" i="1" s="1"/>
  <c r="Y115" i="1"/>
  <c r="X115" i="1" s="1"/>
  <c r="W115" i="1"/>
  <c r="V115" i="1" s="1"/>
  <c r="U115" i="1"/>
  <c r="T115" i="1" s="1"/>
  <c r="S115" i="1"/>
  <c r="R115" i="1" s="1"/>
  <c r="Q115" i="1"/>
  <c r="P115" i="1" s="1"/>
  <c r="O115" i="1"/>
  <c r="N115" i="1" s="1"/>
  <c r="M115" i="1"/>
  <c r="L115" i="1" s="1"/>
  <c r="K115" i="1"/>
  <c r="J115" i="1" s="1"/>
  <c r="I115" i="1"/>
  <c r="H115" i="1" s="1"/>
  <c r="G115" i="1"/>
  <c r="F115" i="1" s="1"/>
  <c r="AE114" i="1"/>
  <c r="AD114" i="1" s="1"/>
  <c r="AC114" i="1"/>
  <c r="AB114" i="1" s="1"/>
  <c r="AA114" i="1"/>
  <c r="Z114" i="1" s="1"/>
  <c r="Y114" i="1"/>
  <c r="X114" i="1" s="1"/>
  <c r="W114" i="1"/>
  <c r="V114" i="1" s="1"/>
  <c r="U114" i="1"/>
  <c r="T114" i="1" s="1"/>
  <c r="S114" i="1"/>
  <c r="R114" i="1" s="1"/>
  <c r="Q114" i="1"/>
  <c r="P114" i="1" s="1"/>
  <c r="O114" i="1"/>
  <c r="N114" i="1" s="1"/>
  <c r="M114" i="1"/>
  <c r="L114" i="1" s="1"/>
  <c r="K114" i="1"/>
  <c r="J114" i="1" s="1"/>
  <c r="I114" i="1"/>
  <c r="H114" i="1" s="1"/>
  <c r="G114" i="1"/>
  <c r="F114" i="1" s="1"/>
  <c r="G112" i="1"/>
  <c r="F112" i="1" s="1"/>
  <c r="I112" i="1"/>
  <c r="H112" i="1" s="1"/>
  <c r="K112" i="1"/>
  <c r="J112" i="1" s="1"/>
  <c r="M112" i="1"/>
  <c r="L112" i="1" s="1"/>
  <c r="O112" i="1"/>
  <c r="N112" i="1" s="1"/>
  <c r="Q112" i="1"/>
  <c r="P112" i="1" s="1"/>
  <c r="S112" i="1"/>
  <c r="R112" i="1" s="1"/>
  <c r="U112" i="1"/>
  <c r="T112" i="1" s="1"/>
  <c r="W112" i="1"/>
  <c r="V112" i="1" s="1"/>
  <c r="Y112" i="1"/>
  <c r="X112" i="1" s="1"/>
  <c r="AA112" i="1"/>
  <c r="Z112" i="1" s="1"/>
  <c r="AC112" i="1"/>
  <c r="AB112" i="1" s="1"/>
  <c r="AE112" i="1"/>
  <c r="E112" i="1" s="1"/>
  <c r="D112" i="1" s="1"/>
  <c r="G111" i="1"/>
  <c r="F111" i="1" s="1"/>
  <c r="I111" i="1"/>
  <c r="H111" i="1" s="1"/>
  <c r="K111" i="1"/>
  <c r="J111" i="1" s="1"/>
  <c r="M111" i="1"/>
  <c r="L111" i="1" s="1"/>
  <c r="O111" i="1"/>
  <c r="N111" i="1" s="1"/>
  <c r="Q111" i="1"/>
  <c r="P111" i="1" s="1"/>
  <c r="S111" i="1"/>
  <c r="R111" i="1" s="1"/>
  <c r="U111" i="1"/>
  <c r="T111" i="1" s="1"/>
  <c r="W111" i="1"/>
  <c r="V111" i="1" s="1"/>
  <c r="Y111" i="1"/>
  <c r="X111" i="1" s="1"/>
  <c r="AA111" i="1"/>
  <c r="Z111" i="1" s="1"/>
  <c r="AC111" i="1"/>
  <c r="AB111" i="1" s="1"/>
  <c r="AE111" i="1"/>
  <c r="E111" i="1" s="1"/>
  <c r="D111" i="1" s="1"/>
  <c r="E104" i="1"/>
  <c r="D104" i="1" s="1"/>
  <c r="G104" i="1"/>
  <c r="F104" i="1" s="1"/>
  <c r="I104" i="1"/>
  <c r="H104" i="1" s="1"/>
  <c r="K104" i="1"/>
  <c r="J104" i="1" s="1"/>
  <c r="M104" i="1"/>
  <c r="L104" i="1" s="1"/>
  <c r="O104" i="1"/>
  <c r="N104" i="1" s="1"/>
  <c r="Q104" i="1"/>
  <c r="P104" i="1" s="1"/>
  <c r="S104" i="1"/>
  <c r="R104" i="1" s="1"/>
  <c r="U104" i="1"/>
  <c r="T104" i="1" s="1"/>
  <c r="W104" i="1"/>
  <c r="V104" i="1" s="1"/>
  <c r="Y104" i="1"/>
  <c r="X104" i="1" s="1"/>
  <c r="AA104" i="1"/>
  <c r="Z104" i="1" s="1"/>
  <c r="AC104" i="1"/>
  <c r="AB104" i="1" s="1"/>
  <c r="AE104" i="1"/>
  <c r="AD104" i="1" s="1"/>
  <c r="E105" i="1"/>
  <c r="D105" i="1" s="1"/>
  <c r="G105" i="1"/>
  <c r="F105" i="1" s="1"/>
  <c r="I105" i="1"/>
  <c r="H105" i="1" s="1"/>
  <c r="K105" i="1"/>
  <c r="J105" i="1" s="1"/>
  <c r="M105" i="1"/>
  <c r="L105" i="1" s="1"/>
  <c r="O105" i="1"/>
  <c r="N105" i="1" s="1"/>
  <c r="Q105" i="1"/>
  <c r="P105" i="1" s="1"/>
  <c r="S105" i="1"/>
  <c r="R105" i="1" s="1"/>
  <c r="U105" i="1"/>
  <c r="T105" i="1" s="1"/>
  <c r="W105" i="1"/>
  <c r="V105" i="1" s="1"/>
  <c r="Y105" i="1"/>
  <c r="X105" i="1" s="1"/>
  <c r="AA105" i="1"/>
  <c r="Z105" i="1" s="1"/>
  <c r="AC105" i="1"/>
  <c r="AB105" i="1" s="1"/>
  <c r="AE105" i="1"/>
  <c r="AD105" i="1" s="1"/>
  <c r="E106" i="1"/>
  <c r="D106" i="1" s="1"/>
  <c r="G106" i="1"/>
  <c r="F106" i="1" s="1"/>
  <c r="I106" i="1"/>
  <c r="H106" i="1" s="1"/>
  <c r="K106" i="1"/>
  <c r="J106" i="1" s="1"/>
  <c r="M106" i="1"/>
  <c r="L106" i="1" s="1"/>
  <c r="O106" i="1"/>
  <c r="N106" i="1" s="1"/>
  <c r="Q106" i="1"/>
  <c r="P106" i="1" s="1"/>
  <c r="S106" i="1"/>
  <c r="R106" i="1" s="1"/>
  <c r="U106" i="1"/>
  <c r="T106" i="1" s="1"/>
  <c r="W106" i="1"/>
  <c r="V106" i="1" s="1"/>
  <c r="Y106" i="1"/>
  <c r="X106" i="1" s="1"/>
  <c r="AA106" i="1"/>
  <c r="Z106" i="1" s="1"/>
  <c r="AC106" i="1"/>
  <c r="AB106" i="1" s="1"/>
  <c r="AE106" i="1"/>
  <c r="AD106" i="1" s="1"/>
  <c r="AE103" i="1"/>
  <c r="AD103" i="1" s="1"/>
  <c r="AC103" i="1"/>
  <c r="AB103" i="1" s="1"/>
  <c r="AA103" i="1"/>
  <c r="Z103" i="1" s="1"/>
  <c r="Y103" i="1"/>
  <c r="X103" i="1" s="1"/>
  <c r="W103" i="1"/>
  <c r="V103" i="1" s="1"/>
  <c r="U103" i="1"/>
  <c r="T103" i="1" s="1"/>
  <c r="S103" i="1"/>
  <c r="R103" i="1" s="1"/>
  <c r="Q103" i="1"/>
  <c r="P103" i="1" s="1"/>
  <c r="O103" i="1"/>
  <c r="N103" i="1" s="1"/>
  <c r="M103" i="1"/>
  <c r="L103" i="1" s="1"/>
  <c r="K103" i="1"/>
  <c r="J103" i="1" s="1"/>
  <c r="I103" i="1"/>
  <c r="H103" i="1" s="1"/>
  <c r="G103" i="1"/>
  <c r="F103" i="1" s="1"/>
  <c r="E103" i="1"/>
  <c r="D103" i="1" s="1"/>
  <c r="E97" i="1"/>
  <c r="D97" i="1" s="1"/>
  <c r="G97" i="1"/>
  <c r="F97" i="1" s="1"/>
  <c r="I97" i="1"/>
  <c r="H97" i="1" s="1"/>
  <c r="K97" i="1"/>
  <c r="J97" i="1" s="1"/>
  <c r="M97" i="1"/>
  <c r="L97" i="1" s="1"/>
  <c r="O97" i="1"/>
  <c r="N97" i="1" s="1"/>
  <c r="Q97" i="1"/>
  <c r="P97" i="1" s="1"/>
  <c r="S97" i="1"/>
  <c r="R97" i="1" s="1"/>
  <c r="U97" i="1"/>
  <c r="T97" i="1" s="1"/>
  <c r="W97" i="1"/>
  <c r="V97" i="1" s="1"/>
  <c r="Y97" i="1"/>
  <c r="X97" i="1" s="1"/>
  <c r="AA97" i="1"/>
  <c r="Z97" i="1" s="1"/>
  <c r="AC97" i="1"/>
  <c r="AB97" i="1" s="1"/>
  <c r="AE97" i="1"/>
  <c r="AD97" i="1" s="1"/>
  <c r="AE89" i="1"/>
  <c r="AD89" i="1" s="1"/>
  <c r="AC89" i="1"/>
  <c r="AB89" i="1" s="1"/>
  <c r="AA89" i="1"/>
  <c r="Z89" i="1" s="1"/>
  <c r="Y89" i="1"/>
  <c r="X89" i="1" s="1"/>
  <c r="W89" i="1"/>
  <c r="V89" i="1" s="1"/>
  <c r="U89" i="1"/>
  <c r="T89" i="1" s="1"/>
  <c r="S89" i="1"/>
  <c r="R89" i="1" s="1"/>
  <c r="Q89" i="1"/>
  <c r="P89" i="1" s="1"/>
  <c r="O89" i="1"/>
  <c r="N89" i="1" s="1"/>
  <c r="M89" i="1"/>
  <c r="L89" i="1" s="1"/>
  <c r="K89" i="1"/>
  <c r="J89" i="1" s="1"/>
  <c r="I89" i="1"/>
  <c r="H89" i="1" s="1"/>
  <c r="G89" i="1"/>
  <c r="F89" i="1" s="1"/>
  <c r="G86" i="1"/>
  <c r="F86" i="1" s="1"/>
  <c r="I86" i="1"/>
  <c r="H86" i="1" s="1"/>
  <c r="K86" i="1"/>
  <c r="J86" i="1" s="1"/>
  <c r="M86" i="1"/>
  <c r="L86" i="1" s="1"/>
  <c r="O86" i="1"/>
  <c r="N86" i="1" s="1"/>
  <c r="Q86" i="1"/>
  <c r="P86" i="1" s="1"/>
  <c r="S86" i="1"/>
  <c r="R86" i="1" s="1"/>
  <c r="U86" i="1"/>
  <c r="T86" i="1" s="1"/>
  <c r="W86" i="1"/>
  <c r="V86" i="1" s="1"/>
  <c r="Y86" i="1"/>
  <c r="X86" i="1" s="1"/>
  <c r="AA86" i="1"/>
  <c r="Z86" i="1" s="1"/>
  <c r="AC86" i="1"/>
  <c r="AB86" i="1" s="1"/>
  <c r="AE86" i="1"/>
  <c r="AD86" i="1" s="1"/>
  <c r="G85" i="1"/>
  <c r="F85" i="1" s="1"/>
  <c r="I85" i="1"/>
  <c r="H85" i="1" s="1"/>
  <c r="K85" i="1"/>
  <c r="J85" i="1" s="1"/>
  <c r="M85" i="1"/>
  <c r="L85" i="1" s="1"/>
  <c r="O85" i="1"/>
  <c r="N85" i="1" s="1"/>
  <c r="Q85" i="1"/>
  <c r="P85" i="1" s="1"/>
  <c r="S85" i="1"/>
  <c r="R85" i="1" s="1"/>
  <c r="U85" i="1"/>
  <c r="T85" i="1" s="1"/>
  <c r="W85" i="1"/>
  <c r="V85" i="1" s="1"/>
  <c r="Y85" i="1"/>
  <c r="X85" i="1" s="1"/>
  <c r="AA85" i="1"/>
  <c r="Z85" i="1" s="1"/>
  <c r="AC85" i="1"/>
  <c r="AB85" i="1" s="1"/>
  <c r="AE85" i="1"/>
  <c r="AD85" i="1" s="1"/>
  <c r="G84" i="1"/>
  <c r="F84" i="1" s="1"/>
  <c r="I84" i="1"/>
  <c r="H84" i="1" s="1"/>
  <c r="K84" i="1"/>
  <c r="J84" i="1" s="1"/>
  <c r="M84" i="1"/>
  <c r="L84" i="1" s="1"/>
  <c r="O84" i="1"/>
  <c r="N84" i="1" s="1"/>
  <c r="Q84" i="1"/>
  <c r="P84" i="1" s="1"/>
  <c r="S84" i="1"/>
  <c r="R84" i="1" s="1"/>
  <c r="U84" i="1"/>
  <c r="T84" i="1" s="1"/>
  <c r="W84" i="1"/>
  <c r="V84" i="1" s="1"/>
  <c r="Y84" i="1"/>
  <c r="X84" i="1" s="1"/>
  <c r="AA84" i="1"/>
  <c r="Z84" i="1" s="1"/>
  <c r="AC84" i="1"/>
  <c r="AB84" i="1" s="1"/>
  <c r="AE84" i="1"/>
  <c r="E84" i="1" s="1"/>
  <c r="D84" i="1" s="1"/>
  <c r="G83" i="1"/>
  <c r="F83" i="1" s="1"/>
  <c r="I83" i="1"/>
  <c r="H83" i="1" s="1"/>
  <c r="K83" i="1"/>
  <c r="J83" i="1" s="1"/>
  <c r="M83" i="1"/>
  <c r="L83" i="1" s="1"/>
  <c r="O83" i="1"/>
  <c r="N83" i="1" s="1"/>
  <c r="Q83" i="1"/>
  <c r="P83" i="1" s="1"/>
  <c r="S83" i="1"/>
  <c r="R83" i="1" s="1"/>
  <c r="U83" i="1"/>
  <c r="T83" i="1" s="1"/>
  <c r="W83" i="1"/>
  <c r="V83" i="1" s="1"/>
  <c r="Y83" i="1"/>
  <c r="X83" i="1" s="1"/>
  <c r="AA83" i="1"/>
  <c r="Z83" i="1" s="1"/>
  <c r="AC83" i="1"/>
  <c r="AB83" i="1" s="1"/>
  <c r="AE83" i="1"/>
  <c r="AD83" i="1" s="1"/>
  <c r="E81" i="1"/>
  <c r="D81" i="1" s="1"/>
  <c r="G81" i="1"/>
  <c r="F81" i="1" s="1"/>
  <c r="I81" i="1"/>
  <c r="H81" i="1" s="1"/>
  <c r="K81" i="1"/>
  <c r="J81" i="1" s="1"/>
  <c r="M81" i="1"/>
  <c r="L81" i="1" s="1"/>
  <c r="O81" i="1"/>
  <c r="N81" i="1" s="1"/>
  <c r="Q81" i="1"/>
  <c r="P81" i="1" s="1"/>
  <c r="S81" i="1"/>
  <c r="R81" i="1" s="1"/>
  <c r="U81" i="1"/>
  <c r="T81" i="1" s="1"/>
  <c r="W81" i="1"/>
  <c r="V81" i="1" s="1"/>
  <c r="Y81" i="1"/>
  <c r="X81" i="1" s="1"/>
  <c r="AA81" i="1"/>
  <c r="Z81" i="1" s="1"/>
  <c r="AC81" i="1"/>
  <c r="AB81" i="1" s="1"/>
  <c r="AE81" i="1"/>
  <c r="AD81" i="1" s="1"/>
  <c r="E80" i="1"/>
  <c r="D80" i="1" s="1"/>
  <c r="G80" i="1"/>
  <c r="F80" i="1" s="1"/>
  <c r="I80" i="1"/>
  <c r="H80" i="1" s="1"/>
  <c r="K80" i="1"/>
  <c r="J80" i="1" s="1"/>
  <c r="M80" i="1"/>
  <c r="L80" i="1" s="1"/>
  <c r="O80" i="1"/>
  <c r="N80" i="1" s="1"/>
  <c r="Q80" i="1"/>
  <c r="P80" i="1" s="1"/>
  <c r="S80" i="1"/>
  <c r="R80" i="1" s="1"/>
  <c r="U80" i="1"/>
  <c r="T80" i="1" s="1"/>
  <c r="W80" i="1"/>
  <c r="V80" i="1" s="1"/>
  <c r="Y80" i="1"/>
  <c r="X80" i="1" s="1"/>
  <c r="AA80" i="1"/>
  <c r="Z80" i="1" s="1"/>
  <c r="AC80" i="1"/>
  <c r="AB80" i="1" s="1"/>
  <c r="AE80" i="1"/>
  <c r="AD80" i="1" s="1"/>
  <c r="E78" i="1"/>
  <c r="D78" i="1" s="1"/>
  <c r="G78" i="1"/>
  <c r="F78" i="1" s="1"/>
  <c r="I78" i="1"/>
  <c r="H78" i="1" s="1"/>
  <c r="K78" i="1"/>
  <c r="J78" i="1" s="1"/>
  <c r="M78" i="1"/>
  <c r="L78" i="1" s="1"/>
  <c r="O78" i="1"/>
  <c r="N78" i="1" s="1"/>
  <c r="Q78" i="1"/>
  <c r="P78" i="1" s="1"/>
  <c r="S78" i="1"/>
  <c r="R78" i="1" s="1"/>
  <c r="U78" i="1"/>
  <c r="T78" i="1" s="1"/>
  <c r="W78" i="1"/>
  <c r="V78" i="1" s="1"/>
  <c r="Y78" i="1"/>
  <c r="X78" i="1" s="1"/>
  <c r="AA78" i="1"/>
  <c r="Z78" i="1" s="1"/>
  <c r="AC78" i="1"/>
  <c r="AB78" i="1" s="1"/>
  <c r="AE78" i="1"/>
  <c r="AD78" i="1" s="1"/>
  <c r="E75" i="1"/>
  <c r="D75" i="1" s="1"/>
  <c r="G75" i="1"/>
  <c r="F75" i="1" s="1"/>
  <c r="I75" i="1"/>
  <c r="H75" i="1" s="1"/>
  <c r="K75" i="1"/>
  <c r="J75" i="1" s="1"/>
  <c r="M75" i="1"/>
  <c r="L75" i="1" s="1"/>
  <c r="O75" i="1"/>
  <c r="N75" i="1" s="1"/>
  <c r="Q75" i="1"/>
  <c r="P75" i="1" s="1"/>
  <c r="S75" i="1"/>
  <c r="R75" i="1" s="1"/>
  <c r="U75" i="1"/>
  <c r="T75" i="1" s="1"/>
  <c r="W75" i="1"/>
  <c r="V75" i="1" s="1"/>
  <c r="Y75" i="1"/>
  <c r="X75" i="1" s="1"/>
  <c r="AA75" i="1"/>
  <c r="Z75" i="1" s="1"/>
  <c r="AC75" i="1"/>
  <c r="AB75" i="1" s="1"/>
  <c r="AE75" i="1"/>
  <c r="AD75" i="1" s="1"/>
  <c r="E76" i="1"/>
  <c r="D76" i="1" s="1"/>
  <c r="G76" i="1"/>
  <c r="F76" i="1" s="1"/>
  <c r="I76" i="1"/>
  <c r="H76" i="1" s="1"/>
  <c r="K76" i="1"/>
  <c r="J76" i="1" s="1"/>
  <c r="M76" i="1"/>
  <c r="L76" i="1" s="1"/>
  <c r="O76" i="1"/>
  <c r="N76" i="1" s="1"/>
  <c r="Q76" i="1"/>
  <c r="P76" i="1" s="1"/>
  <c r="S76" i="1"/>
  <c r="R76" i="1" s="1"/>
  <c r="U76" i="1"/>
  <c r="T76" i="1" s="1"/>
  <c r="W76" i="1"/>
  <c r="V76" i="1" s="1"/>
  <c r="Y76" i="1"/>
  <c r="X76" i="1" s="1"/>
  <c r="AA76" i="1"/>
  <c r="Z76" i="1" s="1"/>
  <c r="AC76" i="1"/>
  <c r="AB76" i="1" s="1"/>
  <c r="AE76" i="1"/>
  <c r="AD76" i="1" s="1"/>
  <c r="E77" i="1"/>
  <c r="D77" i="1" s="1"/>
  <c r="G77" i="1"/>
  <c r="F77" i="1" s="1"/>
  <c r="I77" i="1"/>
  <c r="H77" i="1" s="1"/>
  <c r="K77" i="1"/>
  <c r="J77" i="1" s="1"/>
  <c r="M77" i="1"/>
  <c r="L77" i="1" s="1"/>
  <c r="O77" i="1"/>
  <c r="N77" i="1" s="1"/>
  <c r="Q77" i="1"/>
  <c r="P77" i="1" s="1"/>
  <c r="S77" i="1"/>
  <c r="R77" i="1" s="1"/>
  <c r="U77" i="1"/>
  <c r="T77" i="1" s="1"/>
  <c r="W77" i="1"/>
  <c r="V77" i="1" s="1"/>
  <c r="Y77" i="1"/>
  <c r="X77" i="1" s="1"/>
  <c r="AA77" i="1"/>
  <c r="Z77" i="1" s="1"/>
  <c r="AC77" i="1"/>
  <c r="AB77" i="1" s="1"/>
  <c r="AE77" i="1"/>
  <c r="AD77" i="1" s="1"/>
  <c r="E64" i="1"/>
  <c r="D64" i="1" s="1"/>
  <c r="G64" i="1"/>
  <c r="F64" i="1" s="1"/>
  <c r="I64" i="1"/>
  <c r="H64" i="1" s="1"/>
  <c r="K64" i="1"/>
  <c r="J64" i="1" s="1"/>
  <c r="M64" i="1"/>
  <c r="L64" i="1" s="1"/>
  <c r="O64" i="1"/>
  <c r="N64" i="1" s="1"/>
  <c r="Q64" i="1"/>
  <c r="P64" i="1" s="1"/>
  <c r="S64" i="1"/>
  <c r="R64" i="1" s="1"/>
  <c r="U64" i="1"/>
  <c r="T64" i="1" s="1"/>
  <c r="W64" i="1"/>
  <c r="V64" i="1" s="1"/>
  <c r="Y64" i="1"/>
  <c r="X64" i="1" s="1"/>
  <c r="AA64" i="1"/>
  <c r="Z64" i="1" s="1"/>
  <c r="AC64" i="1"/>
  <c r="AB64" i="1" s="1"/>
  <c r="AE64" i="1"/>
  <c r="AD64" i="1" s="1"/>
  <c r="E51" i="1"/>
  <c r="D51" i="1" s="1"/>
  <c r="G51" i="1"/>
  <c r="F51" i="1" s="1"/>
  <c r="I51" i="1"/>
  <c r="H51" i="1" s="1"/>
  <c r="K51" i="1"/>
  <c r="J51" i="1" s="1"/>
  <c r="M51" i="1"/>
  <c r="L51" i="1" s="1"/>
  <c r="O51" i="1"/>
  <c r="N51" i="1" s="1"/>
  <c r="Q51" i="1"/>
  <c r="P51" i="1" s="1"/>
  <c r="S51" i="1"/>
  <c r="R51" i="1" s="1"/>
  <c r="U51" i="1"/>
  <c r="T51" i="1" s="1"/>
  <c r="W51" i="1"/>
  <c r="V51" i="1" s="1"/>
  <c r="Y51" i="1"/>
  <c r="X51" i="1" s="1"/>
  <c r="AA51" i="1"/>
  <c r="Z51" i="1" s="1"/>
  <c r="AC51" i="1"/>
  <c r="AB51" i="1" s="1"/>
  <c r="AE51" i="1"/>
  <c r="AD51" i="1" s="1"/>
  <c r="S32" i="1"/>
  <c r="AD116" i="1" l="1"/>
  <c r="E115" i="1"/>
  <c r="D115" i="1" s="1"/>
  <c r="E132" i="1"/>
  <c r="D132" i="1" s="1"/>
  <c r="AD123" i="1"/>
  <c r="E114" i="1"/>
  <c r="D114" i="1" s="1"/>
  <c r="E89" i="1"/>
  <c r="D89" i="1" s="1"/>
  <c r="AD112" i="1"/>
  <c r="AD111" i="1"/>
  <c r="E86" i="1"/>
  <c r="D86" i="1" s="1"/>
  <c r="E85" i="1"/>
  <c r="D85" i="1" s="1"/>
  <c r="AD84" i="1"/>
  <c r="E83" i="1"/>
  <c r="D83" i="1" s="1"/>
  <c r="Z17" i="1" l="1"/>
  <c r="Q139" i="1" l="1"/>
  <c r="P139" i="1" s="1"/>
  <c r="Q138" i="1"/>
  <c r="P138" i="1" s="1"/>
  <c r="Q137" i="1"/>
  <c r="P137" i="1" s="1"/>
  <c r="Q136" i="1"/>
  <c r="P136" i="1" s="1"/>
  <c r="Q133" i="1"/>
  <c r="P133" i="1" s="1"/>
  <c r="Q131" i="1"/>
  <c r="P131" i="1" s="1"/>
  <c r="Q130" i="1"/>
  <c r="P130" i="1" s="1"/>
  <c r="Q129" i="1"/>
  <c r="P129" i="1" s="1"/>
  <c r="Q128" i="1"/>
  <c r="P128" i="1" s="1"/>
  <c r="Q118" i="1"/>
  <c r="P118" i="1" s="1"/>
  <c r="Q119" i="1"/>
  <c r="P119" i="1" s="1"/>
  <c r="Q120" i="1"/>
  <c r="P120" i="1" s="1"/>
  <c r="Q121" i="1"/>
  <c r="P121" i="1" s="1"/>
  <c r="Q122" i="1"/>
  <c r="P122" i="1" s="1"/>
  <c r="Q124" i="1"/>
  <c r="P124" i="1" s="1"/>
  <c r="Q125" i="1"/>
  <c r="P125" i="1" s="1"/>
  <c r="Q126" i="1"/>
  <c r="P126" i="1" s="1"/>
  <c r="Q127" i="1"/>
  <c r="P127" i="1" s="1"/>
  <c r="Q117" i="1"/>
  <c r="P117" i="1" s="1"/>
  <c r="Q113" i="1"/>
  <c r="P113" i="1" s="1"/>
  <c r="Q110" i="1"/>
  <c r="P110" i="1" s="1"/>
  <c r="Q109" i="1"/>
  <c r="P109" i="1" s="1"/>
  <c r="Q108" i="1"/>
  <c r="P108" i="1" s="1"/>
  <c r="Q107" i="1"/>
  <c r="P107" i="1" s="1"/>
  <c r="Q101" i="1"/>
  <c r="P101" i="1" s="1"/>
  <c r="Q38" i="1"/>
  <c r="P38" i="1" s="1"/>
  <c r="Q39" i="1"/>
  <c r="P39" i="1" s="1"/>
  <c r="Q40" i="1"/>
  <c r="P40" i="1" s="1"/>
  <c r="Q41" i="1"/>
  <c r="P41" i="1" s="1"/>
  <c r="Q42" i="1"/>
  <c r="P42" i="1" s="1"/>
  <c r="Q43" i="1"/>
  <c r="P43" i="1" s="1"/>
  <c r="Q44" i="1"/>
  <c r="P44" i="1" s="1"/>
  <c r="Q45" i="1"/>
  <c r="P45" i="1" s="1"/>
  <c r="Q46" i="1"/>
  <c r="P46" i="1" s="1"/>
  <c r="Q47" i="1"/>
  <c r="P47" i="1" s="1"/>
  <c r="Q48" i="1"/>
  <c r="P48" i="1" s="1"/>
  <c r="Q49" i="1"/>
  <c r="P49" i="1" s="1"/>
  <c r="Q50" i="1"/>
  <c r="P50" i="1" s="1"/>
  <c r="Q52" i="1"/>
  <c r="P52" i="1" s="1"/>
  <c r="Q53" i="1"/>
  <c r="P53" i="1" s="1"/>
  <c r="Q54" i="1"/>
  <c r="P54" i="1" s="1"/>
  <c r="Q55" i="1"/>
  <c r="P55" i="1" s="1"/>
  <c r="Q56" i="1"/>
  <c r="P56" i="1" s="1"/>
  <c r="Q57" i="1"/>
  <c r="P57" i="1" s="1"/>
  <c r="Q58" i="1"/>
  <c r="P58" i="1" s="1"/>
  <c r="Q59" i="1"/>
  <c r="P59" i="1" s="1"/>
  <c r="Q60" i="1"/>
  <c r="P60" i="1" s="1"/>
  <c r="Q61" i="1"/>
  <c r="P61" i="1" s="1"/>
  <c r="Q62" i="1"/>
  <c r="P62" i="1" s="1"/>
  <c r="Q63" i="1"/>
  <c r="P63" i="1" s="1"/>
  <c r="Q65" i="1"/>
  <c r="P65" i="1" s="1"/>
  <c r="Q66" i="1"/>
  <c r="P66" i="1" s="1"/>
  <c r="Q67" i="1"/>
  <c r="P67" i="1" s="1"/>
  <c r="Q68" i="1"/>
  <c r="P68" i="1" s="1"/>
  <c r="Q69" i="1"/>
  <c r="P69" i="1" s="1"/>
  <c r="Q70" i="1"/>
  <c r="P70" i="1" s="1"/>
  <c r="Q71" i="1"/>
  <c r="P71" i="1" s="1"/>
  <c r="Q72" i="1"/>
  <c r="P72" i="1" s="1"/>
  <c r="Q73" i="1"/>
  <c r="P73" i="1" s="1"/>
  <c r="Q74" i="1"/>
  <c r="P74" i="1" s="1"/>
  <c r="Q79" i="1"/>
  <c r="P79" i="1" s="1"/>
  <c r="Q82" i="1"/>
  <c r="P82" i="1" s="1"/>
  <c r="Q87" i="1"/>
  <c r="P87" i="1" s="1"/>
  <c r="Q88" i="1"/>
  <c r="P88" i="1" s="1"/>
  <c r="Q90" i="1"/>
  <c r="P90" i="1" s="1"/>
  <c r="Q91" i="1"/>
  <c r="P91" i="1" s="1"/>
  <c r="Q92" i="1"/>
  <c r="P92" i="1" s="1"/>
  <c r="Q93" i="1"/>
  <c r="P93" i="1" s="1"/>
  <c r="Q94" i="1"/>
  <c r="P94" i="1" s="1"/>
  <c r="Q95" i="1"/>
  <c r="P95" i="1" s="1"/>
  <c r="Q96" i="1"/>
  <c r="P96" i="1" s="1"/>
  <c r="Q98" i="1"/>
  <c r="P98" i="1" s="1"/>
  <c r="Q99" i="1"/>
  <c r="P99" i="1" s="1"/>
  <c r="Q37" i="1"/>
  <c r="P37" i="1" s="1"/>
  <c r="P100" i="1"/>
  <c r="P102" i="1"/>
  <c r="Y11" i="1" l="1"/>
  <c r="Y12" i="1"/>
  <c r="Y13" i="1"/>
  <c r="Y14" i="1"/>
  <c r="Y15" i="1"/>
  <c r="Y16" i="1"/>
  <c r="Y17" i="1"/>
  <c r="Y18" i="1"/>
  <c r="Y19" i="1"/>
  <c r="Y20" i="1"/>
  <c r="Y23" i="1"/>
  <c r="Y24" i="1"/>
  <c r="Y25" i="1"/>
  <c r="Y26" i="1"/>
  <c r="Y27" i="1"/>
  <c r="Y28" i="1"/>
  <c r="Y29" i="1"/>
  <c r="Y30" i="1"/>
  <c r="Y31" i="1"/>
  <c r="Y32" i="1"/>
  <c r="Y10" i="1"/>
  <c r="Q11" i="1"/>
  <c r="Q12" i="1"/>
  <c r="Q13" i="1"/>
  <c r="Q14" i="1"/>
  <c r="Q15" i="1"/>
  <c r="Q16" i="1"/>
  <c r="Q17" i="1"/>
  <c r="Q18" i="1"/>
  <c r="Q19" i="1"/>
  <c r="Q20" i="1"/>
  <c r="Q23" i="1"/>
  <c r="Q24" i="1"/>
  <c r="Q25" i="1"/>
  <c r="Q26" i="1"/>
  <c r="Q27" i="1"/>
  <c r="Q28" i="1"/>
  <c r="Q29" i="1"/>
  <c r="Q30" i="1"/>
  <c r="Q31" i="1"/>
  <c r="Q32" i="1"/>
  <c r="Q10" i="1"/>
  <c r="AC139" i="1" l="1"/>
  <c r="AB139" i="1" s="1"/>
  <c r="AC138" i="1"/>
  <c r="AB138" i="1" s="1"/>
  <c r="AC137" i="1"/>
  <c r="AB137" i="1" s="1"/>
  <c r="AC136" i="1"/>
  <c r="AB136" i="1" s="1"/>
  <c r="AC133" i="1"/>
  <c r="AB133" i="1" s="1"/>
  <c r="AC131" i="1"/>
  <c r="AB131" i="1" s="1"/>
  <c r="AC130" i="1"/>
  <c r="AC129" i="1"/>
  <c r="AC128" i="1"/>
  <c r="AC122" i="1"/>
  <c r="AC124" i="1"/>
  <c r="AC125" i="1"/>
  <c r="AC126" i="1"/>
  <c r="AC127" i="1"/>
  <c r="AC121" i="1"/>
  <c r="AC120" i="1"/>
  <c r="AC119" i="1"/>
  <c r="AC118" i="1"/>
  <c r="AC117" i="1"/>
  <c r="AC113" i="1"/>
  <c r="AC110" i="1"/>
  <c r="AC109" i="1"/>
  <c r="AC108" i="1"/>
  <c r="AC107" i="1"/>
  <c r="AB107" i="1" s="1"/>
  <c r="AC101" i="1"/>
  <c r="AB101" i="1" s="1"/>
  <c r="AC39" i="1"/>
  <c r="AB39" i="1" s="1"/>
  <c r="AC40" i="1"/>
  <c r="AB40" i="1" s="1"/>
  <c r="AC41" i="1"/>
  <c r="AB41" i="1" s="1"/>
  <c r="AC42" i="1"/>
  <c r="AB42" i="1" s="1"/>
  <c r="AC43" i="1"/>
  <c r="AB43" i="1" s="1"/>
  <c r="AC44" i="1"/>
  <c r="AB44" i="1" s="1"/>
  <c r="AC45" i="1"/>
  <c r="AB45" i="1" s="1"/>
  <c r="AC46" i="1"/>
  <c r="AB46" i="1" s="1"/>
  <c r="AC47" i="1"/>
  <c r="AB47" i="1" s="1"/>
  <c r="AC48" i="1"/>
  <c r="AB48" i="1" s="1"/>
  <c r="AC49" i="1"/>
  <c r="AB49" i="1" s="1"/>
  <c r="AC50" i="1"/>
  <c r="AB50" i="1" s="1"/>
  <c r="AC52" i="1"/>
  <c r="AB52" i="1" s="1"/>
  <c r="AC53" i="1"/>
  <c r="AB53" i="1" s="1"/>
  <c r="AC54" i="1"/>
  <c r="AB54" i="1" s="1"/>
  <c r="AC55" i="1"/>
  <c r="AB55" i="1" s="1"/>
  <c r="AC56" i="1"/>
  <c r="AB56" i="1" s="1"/>
  <c r="AC57" i="1"/>
  <c r="AB57" i="1" s="1"/>
  <c r="AC58" i="1"/>
  <c r="AB58" i="1" s="1"/>
  <c r="AC59" i="1"/>
  <c r="AB59" i="1" s="1"/>
  <c r="AC60" i="1"/>
  <c r="AB60" i="1" s="1"/>
  <c r="AC61" i="1"/>
  <c r="AB61" i="1" s="1"/>
  <c r="AC62" i="1"/>
  <c r="AB62" i="1" s="1"/>
  <c r="AC63" i="1"/>
  <c r="AB63" i="1" s="1"/>
  <c r="AC65" i="1"/>
  <c r="AB65" i="1" s="1"/>
  <c r="AC66" i="1"/>
  <c r="AB66" i="1" s="1"/>
  <c r="AC67" i="1"/>
  <c r="AB67" i="1" s="1"/>
  <c r="AC68" i="1"/>
  <c r="AB68" i="1" s="1"/>
  <c r="AC69" i="1"/>
  <c r="AB69" i="1" s="1"/>
  <c r="AC70" i="1"/>
  <c r="AB70" i="1" s="1"/>
  <c r="AC71" i="1"/>
  <c r="AB71" i="1" s="1"/>
  <c r="AC72" i="1"/>
  <c r="AB72" i="1" s="1"/>
  <c r="AC73" i="1"/>
  <c r="AB73" i="1" s="1"/>
  <c r="AC74" i="1"/>
  <c r="AB74" i="1" s="1"/>
  <c r="AC79" i="1"/>
  <c r="AB79" i="1" s="1"/>
  <c r="AC82" i="1"/>
  <c r="AB82" i="1" s="1"/>
  <c r="AC87" i="1"/>
  <c r="AB87" i="1" s="1"/>
  <c r="AC88" i="1"/>
  <c r="AB88" i="1" s="1"/>
  <c r="AC90" i="1"/>
  <c r="AB90" i="1" s="1"/>
  <c r="AC91" i="1"/>
  <c r="AB91" i="1" s="1"/>
  <c r="AC92" i="1"/>
  <c r="AB92" i="1" s="1"/>
  <c r="AC93" i="1"/>
  <c r="AB93" i="1" s="1"/>
  <c r="AC94" i="1"/>
  <c r="AB94" i="1" s="1"/>
  <c r="AC95" i="1"/>
  <c r="AB95" i="1" s="1"/>
  <c r="AC96" i="1"/>
  <c r="AB96" i="1" s="1"/>
  <c r="AC98" i="1"/>
  <c r="AB98" i="1" s="1"/>
  <c r="AC99" i="1"/>
  <c r="AB99" i="1" s="1"/>
  <c r="AC38" i="1"/>
  <c r="AB38" i="1" s="1"/>
  <c r="AC37" i="1"/>
  <c r="AB37" i="1" s="1"/>
  <c r="AB36" i="1"/>
  <c r="R36" i="1"/>
  <c r="R100" i="1"/>
  <c r="R102" i="1"/>
  <c r="S139" i="1"/>
  <c r="R139" i="1" s="1"/>
  <c r="S138" i="1"/>
  <c r="R138" i="1" s="1"/>
  <c r="S137" i="1"/>
  <c r="R137" i="1" s="1"/>
  <c r="S136" i="1"/>
  <c r="R136" i="1" s="1"/>
  <c r="S133" i="1"/>
  <c r="R133" i="1" s="1"/>
  <c r="S131" i="1"/>
  <c r="R131" i="1" s="1"/>
  <c r="S130" i="1"/>
  <c r="R130" i="1" s="1"/>
  <c r="S129" i="1"/>
  <c r="R129" i="1" s="1"/>
  <c r="S128" i="1"/>
  <c r="R128" i="1" s="1"/>
  <c r="S127" i="1"/>
  <c r="R127" i="1" s="1"/>
  <c r="S126" i="1"/>
  <c r="R126" i="1" s="1"/>
  <c r="S125" i="1"/>
  <c r="R125" i="1" s="1"/>
  <c r="S124" i="1"/>
  <c r="R124" i="1" s="1"/>
  <c r="S122" i="1"/>
  <c r="R122" i="1" s="1"/>
  <c r="S121" i="1"/>
  <c r="R121" i="1" s="1"/>
  <c r="S120" i="1"/>
  <c r="R120" i="1" s="1"/>
  <c r="S119" i="1"/>
  <c r="R119" i="1" s="1"/>
  <c r="S118" i="1"/>
  <c r="R118" i="1" s="1"/>
  <c r="S117" i="1"/>
  <c r="R117" i="1" s="1"/>
  <c r="S113" i="1"/>
  <c r="R113" i="1" s="1"/>
  <c r="S110" i="1"/>
  <c r="R110" i="1" s="1"/>
  <c r="S109" i="1"/>
  <c r="R109" i="1" s="1"/>
  <c r="S108" i="1"/>
  <c r="R108" i="1" s="1"/>
  <c r="S107" i="1"/>
  <c r="R107" i="1" s="1"/>
  <c r="S101" i="1"/>
  <c r="R101" i="1" s="1"/>
  <c r="S41" i="1"/>
  <c r="R41" i="1" s="1"/>
  <c r="S42" i="1"/>
  <c r="R42" i="1" s="1"/>
  <c r="S43" i="1"/>
  <c r="R43" i="1" s="1"/>
  <c r="S44" i="1"/>
  <c r="R44" i="1" s="1"/>
  <c r="S45" i="1"/>
  <c r="R45" i="1" s="1"/>
  <c r="S46" i="1"/>
  <c r="R46" i="1" s="1"/>
  <c r="S47" i="1"/>
  <c r="R47" i="1" s="1"/>
  <c r="S48" i="1"/>
  <c r="R48" i="1" s="1"/>
  <c r="S49" i="1"/>
  <c r="R49" i="1" s="1"/>
  <c r="S50" i="1"/>
  <c r="R50" i="1" s="1"/>
  <c r="S52" i="1"/>
  <c r="R52" i="1" s="1"/>
  <c r="S53" i="1"/>
  <c r="R53" i="1" s="1"/>
  <c r="S54" i="1"/>
  <c r="R54" i="1" s="1"/>
  <c r="S55" i="1"/>
  <c r="R55" i="1" s="1"/>
  <c r="S56" i="1"/>
  <c r="R56" i="1" s="1"/>
  <c r="S57" i="1"/>
  <c r="R57" i="1" s="1"/>
  <c r="S58" i="1"/>
  <c r="R58" i="1" s="1"/>
  <c r="S59" i="1"/>
  <c r="R59" i="1" s="1"/>
  <c r="S60" i="1"/>
  <c r="R60" i="1" s="1"/>
  <c r="S61" i="1"/>
  <c r="R61" i="1" s="1"/>
  <c r="S62" i="1"/>
  <c r="R62" i="1" s="1"/>
  <c r="S63" i="1"/>
  <c r="R63" i="1" s="1"/>
  <c r="S65" i="1"/>
  <c r="R65" i="1" s="1"/>
  <c r="S66" i="1"/>
  <c r="R66" i="1" s="1"/>
  <c r="S67" i="1"/>
  <c r="R67" i="1" s="1"/>
  <c r="S68" i="1"/>
  <c r="R68" i="1" s="1"/>
  <c r="S69" i="1"/>
  <c r="R69" i="1" s="1"/>
  <c r="S70" i="1"/>
  <c r="R70" i="1" s="1"/>
  <c r="S71" i="1"/>
  <c r="R71" i="1" s="1"/>
  <c r="S72" i="1"/>
  <c r="R72" i="1" s="1"/>
  <c r="S73" i="1"/>
  <c r="R73" i="1" s="1"/>
  <c r="S74" i="1"/>
  <c r="R74" i="1" s="1"/>
  <c r="S79" i="1"/>
  <c r="R79" i="1" s="1"/>
  <c r="S82" i="1"/>
  <c r="R82" i="1" s="1"/>
  <c r="S87" i="1"/>
  <c r="R87" i="1" s="1"/>
  <c r="S88" i="1"/>
  <c r="R88" i="1" s="1"/>
  <c r="S90" i="1"/>
  <c r="R90" i="1" s="1"/>
  <c r="S91" i="1"/>
  <c r="R91" i="1" s="1"/>
  <c r="S92" i="1"/>
  <c r="R92" i="1" s="1"/>
  <c r="S93" i="1"/>
  <c r="R93" i="1" s="1"/>
  <c r="S94" i="1"/>
  <c r="R94" i="1" s="1"/>
  <c r="S95" i="1"/>
  <c r="R95" i="1" s="1"/>
  <c r="S96" i="1"/>
  <c r="R96" i="1" s="1"/>
  <c r="S98" i="1"/>
  <c r="R98" i="1" s="1"/>
  <c r="S99" i="1"/>
  <c r="R99" i="1" s="1"/>
  <c r="S40" i="1"/>
  <c r="R40" i="1" s="1"/>
  <c r="S39" i="1"/>
  <c r="R39" i="1" s="1"/>
  <c r="S38" i="1"/>
  <c r="R38" i="1" s="1"/>
  <c r="S37" i="1"/>
  <c r="R37" i="1" s="1"/>
  <c r="K127" i="1"/>
  <c r="J127" i="1" s="1"/>
  <c r="K126" i="1"/>
  <c r="J126" i="1" s="1"/>
  <c r="K125" i="1"/>
  <c r="J125" i="1" s="1"/>
  <c r="K124" i="1"/>
  <c r="J124" i="1" s="1"/>
  <c r="K122" i="1"/>
  <c r="J122" i="1" s="1"/>
  <c r="K121" i="1"/>
  <c r="J121" i="1" s="1"/>
  <c r="K120" i="1"/>
  <c r="J120" i="1" s="1"/>
  <c r="K119" i="1"/>
  <c r="J119" i="1" s="1"/>
  <c r="K118" i="1"/>
  <c r="J118" i="1" s="1"/>
  <c r="K117" i="1"/>
  <c r="J117" i="1" s="1"/>
  <c r="K113" i="1"/>
  <c r="J113" i="1" s="1"/>
  <c r="K110" i="1"/>
  <c r="J110" i="1" s="1"/>
  <c r="K109" i="1"/>
  <c r="J109" i="1" s="1"/>
  <c r="K108" i="1"/>
  <c r="J108" i="1" s="1"/>
  <c r="K107" i="1"/>
  <c r="J107" i="1" s="1"/>
  <c r="J100" i="1"/>
  <c r="J102" i="1"/>
  <c r="K133" i="1"/>
  <c r="J133" i="1" s="1"/>
  <c r="K131" i="1"/>
  <c r="J131" i="1" s="1"/>
  <c r="K130" i="1"/>
  <c r="J130" i="1" s="1"/>
  <c r="K129" i="1"/>
  <c r="J129" i="1" s="1"/>
  <c r="K128" i="1"/>
  <c r="J128" i="1" s="1"/>
  <c r="K101" i="1"/>
  <c r="J101" i="1" s="1"/>
  <c r="K40" i="1"/>
  <c r="J40" i="1" s="1"/>
  <c r="K41" i="1"/>
  <c r="J41" i="1" s="1"/>
  <c r="K42" i="1"/>
  <c r="J42" i="1" s="1"/>
  <c r="K43" i="1"/>
  <c r="J43" i="1" s="1"/>
  <c r="K44" i="1"/>
  <c r="J44" i="1" s="1"/>
  <c r="K45" i="1"/>
  <c r="J45" i="1" s="1"/>
  <c r="K46" i="1"/>
  <c r="J46" i="1" s="1"/>
  <c r="K47" i="1"/>
  <c r="J47" i="1" s="1"/>
  <c r="K48" i="1"/>
  <c r="J48" i="1" s="1"/>
  <c r="K49" i="1"/>
  <c r="J49" i="1" s="1"/>
  <c r="K50" i="1"/>
  <c r="J50" i="1" s="1"/>
  <c r="K52" i="1"/>
  <c r="J52" i="1" s="1"/>
  <c r="K53" i="1"/>
  <c r="J53" i="1" s="1"/>
  <c r="K54" i="1"/>
  <c r="J54" i="1" s="1"/>
  <c r="K55" i="1"/>
  <c r="J55" i="1" s="1"/>
  <c r="K56" i="1"/>
  <c r="J56" i="1" s="1"/>
  <c r="K57" i="1"/>
  <c r="J57" i="1" s="1"/>
  <c r="K58" i="1"/>
  <c r="J58" i="1" s="1"/>
  <c r="K59" i="1"/>
  <c r="J59" i="1" s="1"/>
  <c r="K60" i="1"/>
  <c r="J60" i="1" s="1"/>
  <c r="K61" i="1"/>
  <c r="J61" i="1" s="1"/>
  <c r="K62" i="1"/>
  <c r="J62" i="1" s="1"/>
  <c r="K63" i="1"/>
  <c r="J63" i="1" s="1"/>
  <c r="K65" i="1"/>
  <c r="J65" i="1" s="1"/>
  <c r="K66" i="1"/>
  <c r="J66" i="1" s="1"/>
  <c r="K67" i="1"/>
  <c r="J67" i="1" s="1"/>
  <c r="K68" i="1"/>
  <c r="J68" i="1" s="1"/>
  <c r="K69" i="1"/>
  <c r="J69" i="1" s="1"/>
  <c r="K70" i="1"/>
  <c r="J70" i="1" s="1"/>
  <c r="K71" i="1"/>
  <c r="J71" i="1" s="1"/>
  <c r="K72" i="1"/>
  <c r="J72" i="1" s="1"/>
  <c r="K73" i="1"/>
  <c r="J73" i="1" s="1"/>
  <c r="K74" i="1"/>
  <c r="J74" i="1" s="1"/>
  <c r="K79" i="1"/>
  <c r="J79" i="1" s="1"/>
  <c r="K82" i="1"/>
  <c r="J82" i="1" s="1"/>
  <c r="K87" i="1"/>
  <c r="J87" i="1" s="1"/>
  <c r="K88" i="1"/>
  <c r="J88" i="1" s="1"/>
  <c r="K90" i="1"/>
  <c r="J90" i="1" s="1"/>
  <c r="K91" i="1"/>
  <c r="J91" i="1" s="1"/>
  <c r="K92" i="1"/>
  <c r="J92" i="1" s="1"/>
  <c r="K93" i="1"/>
  <c r="J93" i="1" s="1"/>
  <c r="K94" i="1"/>
  <c r="J94" i="1" s="1"/>
  <c r="K95" i="1"/>
  <c r="J95" i="1" s="1"/>
  <c r="K96" i="1"/>
  <c r="J96" i="1" s="1"/>
  <c r="K98" i="1"/>
  <c r="J98" i="1" s="1"/>
  <c r="K99" i="1"/>
  <c r="J99" i="1" s="1"/>
  <c r="K39" i="1"/>
  <c r="J39" i="1" s="1"/>
  <c r="K38" i="1"/>
  <c r="J38" i="1" s="1"/>
  <c r="K37" i="1"/>
  <c r="J37" i="1" s="1"/>
  <c r="K36" i="1"/>
  <c r="J36" i="1" s="1"/>
  <c r="U31" i="1" l="1"/>
  <c r="S24" i="1"/>
  <c r="S23" i="1"/>
  <c r="N17" i="1"/>
  <c r="L17" i="1"/>
  <c r="K24" i="1"/>
  <c r="K23" i="1"/>
  <c r="AB130" i="1" l="1"/>
  <c r="AB128" i="1" l="1"/>
  <c r="AB129" i="1"/>
  <c r="AB121" i="1"/>
  <c r="AB122" i="1"/>
  <c r="AB127" i="1"/>
  <c r="AB124" i="1"/>
  <c r="AB126" i="1"/>
  <c r="AB125" i="1"/>
  <c r="AB119" i="1"/>
  <c r="AB120" i="1"/>
  <c r="AB117" i="1"/>
  <c r="AB118" i="1"/>
  <c r="AB110" i="1"/>
  <c r="AB113" i="1"/>
  <c r="AB108" i="1"/>
  <c r="AB109" i="1"/>
  <c r="K138" i="1"/>
  <c r="J138" i="1" s="1"/>
  <c r="K139" i="1"/>
  <c r="J139" i="1" s="1"/>
  <c r="K136" i="1"/>
  <c r="J136" i="1" s="1"/>
  <c r="K137" i="1"/>
  <c r="J137" i="1" s="1"/>
  <c r="E17" i="1" l="1"/>
  <c r="D17" i="1" s="1"/>
  <c r="G17" i="1"/>
  <c r="I17" i="1"/>
  <c r="M17" i="1"/>
  <c r="O17" i="1"/>
  <c r="U17" i="1"/>
  <c r="W17" i="1"/>
  <c r="AA17" i="1"/>
  <c r="AE17" i="1"/>
  <c r="AD17" i="1" s="1"/>
  <c r="E79" i="1" l="1"/>
  <c r="G79" i="1"/>
  <c r="F79" i="1" s="1"/>
  <c r="I79" i="1"/>
  <c r="H79" i="1" s="1"/>
  <c r="M79" i="1"/>
  <c r="L79" i="1" s="1"/>
  <c r="O79" i="1"/>
  <c r="N79" i="1" s="1"/>
  <c r="Y79" i="1"/>
  <c r="X79" i="1" s="1"/>
  <c r="AE79" i="1"/>
  <c r="AD79" i="1" s="1"/>
  <c r="E136" i="1"/>
  <c r="G136" i="1"/>
  <c r="F136" i="1" s="1"/>
  <c r="I136" i="1"/>
  <c r="H136" i="1" s="1"/>
  <c r="M136" i="1"/>
  <c r="L136" i="1" s="1"/>
  <c r="O136" i="1"/>
  <c r="N136" i="1" s="1"/>
  <c r="Y136" i="1"/>
  <c r="X136" i="1" s="1"/>
  <c r="AE136" i="1"/>
  <c r="AD136" i="1" s="1"/>
  <c r="E137" i="1"/>
  <c r="G137" i="1"/>
  <c r="F137" i="1" s="1"/>
  <c r="I137" i="1"/>
  <c r="H137" i="1" s="1"/>
  <c r="M137" i="1"/>
  <c r="L137" i="1" s="1"/>
  <c r="O137" i="1"/>
  <c r="N137" i="1" s="1"/>
  <c r="Y137" i="1"/>
  <c r="X137" i="1" s="1"/>
  <c r="AE137" i="1"/>
  <c r="AD137" i="1" s="1"/>
  <c r="E138" i="1"/>
  <c r="G138" i="1"/>
  <c r="F138" i="1" s="1"/>
  <c r="I138" i="1"/>
  <c r="H138" i="1" s="1"/>
  <c r="M138" i="1"/>
  <c r="L138" i="1" s="1"/>
  <c r="O138" i="1"/>
  <c r="N138" i="1" s="1"/>
  <c r="Y138" i="1"/>
  <c r="X138" i="1" s="1"/>
  <c r="AE138" i="1"/>
  <c r="AD138" i="1" s="1"/>
  <c r="E139" i="1"/>
  <c r="G139" i="1"/>
  <c r="F139" i="1" s="1"/>
  <c r="I139" i="1"/>
  <c r="H139" i="1" s="1"/>
  <c r="M139" i="1"/>
  <c r="L139" i="1" s="1"/>
  <c r="O139" i="1"/>
  <c r="N139" i="1" s="1"/>
  <c r="Y139" i="1"/>
  <c r="X139" i="1" s="1"/>
  <c r="AE139" i="1"/>
  <c r="AD139" i="1" s="1"/>
  <c r="D137" i="1" l="1"/>
  <c r="D138" i="1"/>
  <c r="D136" i="1"/>
  <c r="D139" i="1"/>
  <c r="D79" i="1"/>
  <c r="AE31" i="1"/>
  <c r="AC31" i="1"/>
  <c r="AA31" i="1"/>
  <c r="W31" i="1"/>
  <c r="S31" i="1"/>
  <c r="O31" i="1"/>
  <c r="M31" i="1"/>
  <c r="K31" i="1"/>
  <c r="I31" i="1"/>
  <c r="G31" i="1"/>
  <c r="E31" i="1"/>
  <c r="D31" i="1" s="1"/>
  <c r="I32" i="1"/>
  <c r="W136" i="1" l="1"/>
  <c r="V136" i="1" s="1"/>
  <c r="W138" i="1"/>
  <c r="V138" i="1" s="1"/>
  <c r="W79" i="1"/>
  <c r="V79" i="1" s="1"/>
  <c r="W137" i="1"/>
  <c r="V137" i="1" s="1"/>
  <c r="W139" i="1"/>
  <c r="V139" i="1" s="1"/>
  <c r="AA79" i="1"/>
  <c r="Z79" i="1" s="1"/>
  <c r="AA137" i="1"/>
  <c r="Z137" i="1" s="1"/>
  <c r="AA139" i="1"/>
  <c r="Z139" i="1" s="1"/>
  <c r="AA136" i="1"/>
  <c r="Z136" i="1" s="1"/>
  <c r="AA138" i="1"/>
  <c r="Z138" i="1" s="1"/>
  <c r="U79" i="1"/>
  <c r="T79" i="1" s="1"/>
  <c r="U137" i="1"/>
  <c r="T137" i="1" s="1"/>
  <c r="U139" i="1"/>
  <c r="T139" i="1" s="1"/>
  <c r="U136" i="1"/>
  <c r="T136" i="1" s="1"/>
  <c r="U138" i="1"/>
  <c r="T138" i="1" s="1"/>
  <c r="AE19" i="1" l="1"/>
  <c r="N100" i="1" l="1"/>
  <c r="N102" i="1"/>
  <c r="AE129" i="1" l="1"/>
  <c r="AE128" i="1"/>
  <c r="AE133" i="1"/>
  <c r="AE130" i="1"/>
  <c r="AE131" i="1"/>
  <c r="AE118" i="1"/>
  <c r="AE119" i="1"/>
  <c r="AE120" i="1"/>
  <c r="AE121" i="1"/>
  <c r="AE122" i="1"/>
  <c r="AE124" i="1"/>
  <c r="AE125" i="1"/>
  <c r="AE126" i="1"/>
  <c r="AE127" i="1"/>
  <c r="AE117" i="1"/>
  <c r="AE109" i="1"/>
  <c r="AE110" i="1"/>
  <c r="AE113" i="1"/>
  <c r="AE108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5" i="1"/>
  <c r="AE66" i="1"/>
  <c r="AE67" i="1"/>
  <c r="AE68" i="1"/>
  <c r="AE69" i="1"/>
  <c r="AE70" i="1"/>
  <c r="AE71" i="1"/>
  <c r="AE72" i="1"/>
  <c r="AE73" i="1"/>
  <c r="AE74" i="1"/>
  <c r="AE82" i="1"/>
  <c r="AE87" i="1"/>
  <c r="AE88" i="1"/>
  <c r="AE90" i="1"/>
  <c r="AE91" i="1"/>
  <c r="AE92" i="1"/>
  <c r="AE93" i="1"/>
  <c r="AE94" i="1"/>
  <c r="AE95" i="1"/>
  <c r="AE96" i="1"/>
  <c r="AE98" i="1"/>
  <c r="AE99" i="1"/>
  <c r="AE100" i="1"/>
  <c r="AE101" i="1"/>
  <c r="AE102" i="1"/>
  <c r="AE107" i="1"/>
  <c r="AE37" i="1"/>
  <c r="AE36" i="1"/>
  <c r="AA129" i="1"/>
  <c r="Z129" i="1" s="1"/>
  <c r="AA128" i="1"/>
  <c r="Z128" i="1" s="1"/>
  <c r="AA118" i="1"/>
  <c r="Z118" i="1" s="1"/>
  <c r="AA119" i="1"/>
  <c r="Z119" i="1" s="1"/>
  <c r="AA120" i="1"/>
  <c r="Z120" i="1" s="1"/>
  <c r="AA121" i="1"/>
  <c r="Z121" i="1" s="1"/>
  <c r="AA122" i="1"/>
  <c r="Z122" i="1" s="1"/>
  <c r="AA124" i="1"/>
  <c r="Z124" i="1" s="1"/>
  <c r="AA125" i="1"/>
  <c r="Z125" i="1" s="1"/>
  <c r="AA126" i="1"/>
  <c r="Z126" i="1" s="1"/>
  <c r="AA127" i="1"/>
  <c r="Z127" i="1" s="1"/>
  <c r="AA117" i="1"/>
  <c r="Z117" i="1" s="1"/>
  <c r="AA133" i="1"/>
  <c r="Z133" i="1" s="1"/>
  <c r="AA131" i="1"/>
  <c r="Z131" i="1" s="1"/>
  <c r="AA109" i="1"/>
  <c r="Z109" i="1" s="1"/>
  <c r="AA110" i="1"/>
  <c r="Z110" i="1" s="1"/>
  <c r="AA113" i="1"/>
  <c r="Z113" i="1" s="1"/>
  <c r="AA108" i="1"/>
  <c r="Z108" i="1" s="1"/>
  <c r="AA130" i="1"/>
  <c r="Z130" i="1" s="1"/>
  <c r="AA38" i="1"/>
  <c r="Z38" i="1" s="1"/>
  <c r="AA39" i="1"/>
  <c r="Z39" i="1" s="1"/>
  <c r="AA40" i="1"/>
  <c r="Z40" i="1" s="1"/>
  <c r="AA41" i="1"/>
  <c r="Z41" i="1" s="1"/>
  <c r="AA42" i="1"/>
  <c r="Z42" i="1" s="1"/>
  <c r="AA43" i="1"/>
  <c r="Z43" i="1" s="1"/>
  <c r="AA44" i="1"/>
  <c r="Z44" i="1" s="1"/>
  <c r="AA45" i="1"/>
  <c r="Z45" i="1" s="1"/>
  <c r="AA46" i="1"/>
  <c r="Z46" i="1" s="1"/>
  <c r="AA47" i="1"/>
  <c r="Z47" i="1" s="1"/>
  <c r="AA48" i="1"/>
  <c r="Z48" i="1" s="1"/>
  <c r="AA49" i="1"/>
  <c r="Z49" i="1" s="1"/>
  <c r="AA50" i="1"/>
  <c r="Z50" i="1" s="1"/>
  <c r="AA52" i="1"/>
  <c r="Z52" i="1" s="1"/>
  <c r="AA53" i="1"/>
  <c r="Z53" i="1" s="1"/>
  <c r="AA54" i="1"/>
  <c r="Z54" i="1" s="1"/>
  <c r="AA55" i="1"/>
  <c r="Z55" i="1" s="1"/>
  <c r="AA56" i="1"/>
  <c r="Z56" i="1" s="1"/>
  <c r="AA57" i="1"/>
  <c r="Z57" i="1" s="1"/>
  <c r="AA58" i="1"/>
  <c r="Z58" i="1" s="1"/>
  <c r="AA59" i="1"/>
  <c r="Z59" i="1" s="1"/>
  <c r="AA60" i="1"/>
  <c r="Z60" i="1" s="1"/>
  <c r="AA61" i="1"/>
  <c r="Z61" i="1" s="1"/>
  <c r="AA62" i="1"/>
  <c r="Z62" i="1" s="1"/>
  <c r="AA63" i="1"/>
  <c r="Z63" i="1" s="1"/>
  <c r="AA65" i="1"/>
  <c r="Z65" i="1" s="1"/>
  <c r="AA66" i="1"/>
  <c r="Z66" i="1" s="1"/>
  <c r="AA67" i="1"/>
  <c r="Z67" i="1" s="1"/>
  <c r="AA68" i="1"/>
  <c r="Z68" i="1" s="1"/>
  <c r="AA69" i="1"/>
  <c r="Z69" i="1" s="1"/>
  <c r="AA70" i="1"/>
  <c r="Z70" i="1" s="1"/>
  <c r="AA71" i="1"/>
  <c r="Z71" i="1" s="1"/>
  <c r="AA72" i="1"/>
  <c r="Z72" i="1" s="1"/>
  <c r="AA73" i="1"/>
  <c r="Z73" i="1" s="1"/>
  <c r="AA74" i="1"/>
  <c r="Z74" i="1" s="1"/>
  <c r="AA82" i="1"/>
  <c r="Z82" i="1" s="1"/>
  <c r="AA87" i="1"/>
  <c r="Z87" i="1" s="1"/>
  <c r="AA88" i="1"/>
  <c r="Z88" i="1" s="1"/>
  <c r="AA90" i="1"/>
  <c r="Z90" i="1" s="1"/>
  <c r="AA91" i="1"/>
  <c r="Z91" i="1" s="1"/>
  <c r="AA92" i="1"/>
  <c r="Z92" i="1" s="1"/>
  <c r="AA93" i="1"/>
  <c r="Z93" i="1" s="1"/>
  <c r="AA94" i="1"/>
  <c r="Z94" i="1" s="1"/>
  <c r="AA95" i="1"/>
  <c r="Z95" i="1" s="1"/>
  <c r="AA96" i="1"/>
  <c r="Z96" i="1" s="1"/>
  <c r="AA98" i="1"/>
  <c r="Z98" i="1" s="1"/>
  <c r="AA99" i="1"/>
  <c r="Z99" i="1" s="1"/>
  <c r="Z100" i="1"/>
  <c r="AA101" i="1"/>
  <c r="Z101" i="1" s="1"/>
  <c r="AA102" i="1"/>
  <c r="AA107" i="1"/>
  <c r="Z107" i="1" s="1"/>
  <c r="AA37" i="1"/>
  <c r="Z37" i="1" s="1"/>
  <c r="AA36" i="1"/>
  <c r="Z36" i="1" s="1"/>
  <c r="M129" i="1"/>
  <c r="O129" i="1"/>
  <c r="N129" i="1" s="1"/>
  <c r="U129" i="1"/>
  <c r="T129" i="1" s="1"/>
  <c r="W129" i="1"/>
  <c r="V129" i="1" s="1"/>
  <c r="W128" i="1"/>
  <c r="U128" i="1"/>
  <c r="O128" i="1"/>
  <c r="N128" i="1" s="1"/>
  <c r="M128" i="1"/>
  <c r="M118" i="1"/>
  <c r="O118" i="1"/>
  <c r="N118" i="1" s="1"/>
  <c r="U118" i="1"/>
  <c r="T118" i="1" s="1"/>
  <c r="W118" i="1"/>
  <c r="V118" i="1" s="1"/>
  <c r="M119" i="1"/>
  <c r="O119" i="1"/>
  <c r="N119" i="1" s="1"/>
  <c r="U119" i="1"/>
  <c r="T119" i="1" s="1"/>
  <c r="W119" i="1"/>
  <c r="V119" i="1" s="1"/>
  <c r="M120" i="1"/>
  <c r="O120" i="1"/>
  <c r="N120" i="1" s="1"/>
  <c r="U120" i="1"/>
  <c r="T120" i="1" s="1"/>
  <c r="W120" i="1"/>
  <c r="V120" i="1" s="1"/>
  <c r="M121" i="1"/>
  <c r="O121" i="1"/>
  <c r="N121" i="1" s="1"/>
  <c r="U121" i="1"/>
  <c r="T121" i="1" s="1"/>
  <c r="W121" i="1"/>
  <c r="V121" i="1" s="1"/>
  <c r="M122" i="1"/>
  <c r="O122" i="1"/>
  <c r="N122" i="1" s="1"/>
  <c r="U122" i="1"/>
  <c r="T122" i="1" s="1"/>
  <c r="W122" i="1"/>
  <c r="V122" i="1" s="1"/>
  <c r="M124" i="1"/>
  <c r="O124" i="1"/>
  <c r="N124" i="1" s="1"/>
  <c r="U124" i="1"/>
  <c r="T124" i="1" s="1"/>
  <c r="W124" i="1"/>
  <c r="V124" i="1" s="1"/>
  <c r="M125" i="1"/>
  <c r="O125" i="1"/>
  <c r="N125" i="1" s="1"/>
  <c r="U125" i="1"/>
  <c r="T125" i="1" s="1"/>
  <c r="W125" i="1"/>
  <c r="V125" i="1" s="1"/>
  <c r="M126" i="1"/>
  <c r="O126" i="1"/>
  <c r="N126" i="1" s="1"/>
  <c r="U126" i="1"/>
  <c r="T126" i="1" s="1"/>
  <c r="W126" i="1"/>
  <c r="V126" i="1" s="1"/>
  <c r="M127" i="1"/>
  <c r="O127" i="1"/>
  <c r="N127" i="1" s="1"/>
  <c r="U127" i="1"/>
  <c r="T127" i="1" s="1"/>
  <c r="W127" i="1"/>
  <c r="V127" i="1" s="1"/>
  <c r="W117" i="1"/>
  <c r="U117" i="1"/>
  <c r="O117" i="1"/>
  <c r="N117" i="1" s="1"/>
  <c r="M117" i="1"/>
  <c r="W133" i="1"/>
  <c r="V133" i="1" s="1"/>
  <c r="U133" i="1"/>
  <c r="T133" i="1" s="1"/>
  <c r="O133" i="1"/>
  <c r="N133" i="1" s="1"/>
  <c r="M133" i="1"/>
  <c r="W131" i="1"/>
  <c r="V131" i="1" s="1"/>
  <c r="U131" i="1"/>
  <c r="T131" i="1" s="1"/>
  <c r="O131" i="1"/>
  <c r="N131" i="1" s="1"/>
  <c r="M131" i="1"/>
  <c r="M109" i="1"/>
  <c r="O109" i="1"/>
  <c r="N109" i="1" s="1"/>
  <c r="U109" i="1"/>
  <c r="T109" i="1" s="1"/>
  <c r="W109" i="1"/>
  <c r="V109" i="1" s="1"/>
  <c r="M110" i="1"/>
  <c r="O110" i="1"/>
  <c r="N110" i="1" s="1"/>
  <c r="U110" i="1"/>
  <c r="T110" i="1" s="1"/>
  <c r="W110" i="1"/>
  <c r="V110" i="1" s="1"/>
  <c r="M113" i="1"/>
  <c r="O113" i="1"/>
  <c r="N113" i="1" s="1"/>
  <c r="U113" i="1"/>
  <c r="T113" i="1" s="1"/>
  <c r="W113" i="1"/>
  <c r="V113" i="1" s="1"/>
  <c r="W108" i="1"/>
  <c r="U108" i="1"/>
  <c r="O108" i="1"/>
  <c r="N108" i="1" s="1"/>
  <c r="M108" i="1"/>
  <c r="W107" i="1"/>
  <c r="U107" i="1"/>
  <c r="O107" i="1"/>
  <c r="N107" i="1" s="1"/>
  <c r="M107" i="1"/>
  <c r="W130" i="1"/>
  <c r="V130" i="1" s="1"/>
  <c r="U130" i="1"/>
  <c r="T130" i="1" s="1"/>
  <c r="O130" i="1"/>
  <c r="N130" i="1" s="1"/>
  <c r="M130" i="1"/>
  <c r="W101" i="1"/>
  <c r="V101" i="1" s="1"/>
  <c r="U101" i="1"/>
  <c r="T101" i="1" s="1"/>
  <c r="O101" i="1"/>
  <c r="N101" i="1" s="1"/>
  <c r="M101" i="1"/>
  <c r="M38" i="1"/>
  <c r="O38" i="1"/>
  <c r="N38" i="1" s="1"/>
  <c r="U38" i="1"/>
  <c r="T38" i="1" s="1"/>
  <c r="W38" i="1"/>
  <c r="V38" i="1" s="1"/>
  <c r="M39" i="1"/>
  <c r="O39" i="1"/>
  <c r="N39" i="1" s="1"/>
  <c r="U39" i="1"/>
  <c r="T39" i="1" s="1"/>
  <c r="W39" i="1"/>
  <c r="V39" i="1" s="1"/>
  <c r="M40" i="1"/>
  <c r="O40" i="1"/>
  <c r="N40" i="1" s="1"/>
  <c r="U40" i="1"/>
  <c r="T40" i="1" s="1"/>
  <c r="W40" i="1"/>
  <c r="V40" i="1" s="1"/>
  <c r="M41" i="1"/>
  <c r="O41" i="1"/>
  <c r="N41" i="1" s="1"/>
  <c r="U41" i="1"/>
  <c r="T41" i="1" s="1"/>
  <c r="W41" i="1"/>
  <c r="V41" i="1" s="1"/>
  <c r="M42" i="1"/>
  <c r="O42" i="1"/>
  <c r="N42" i="1" s="1"/>
  <c r="U42" i="1"/>
  <c r="T42" i="1" s="1"/>
  <c r="W42" i="1"/>
  <c r="V42" i="1" s="1"/>
  <c r="M43" i="1"/>
  <c r="O43" i="1"/>
  <c r="N43" i="1" s="1"/>
  <c r="U43" i="1"/>
  <c r="T43" i="1" s="1"/>
  <c r="W43" i="1"/>
  <c r="V43" i="1" s="1"/>
  <c r="M44" i="1"/>
  <c r="O44" i="1"/>
  <c r="N44" i="1" s="1"/>
  <c r="U44" i="1"/>
  <c r="T44" i="1" s="1"/>
  <c r="W44" i="1"/>
  <c r="V44" i="1" s="1"/>
  <c r="M45" i="1"/>
  <c r="O45" i="1"/>
  <c r="N45" i="1" s="1"/>
  <c r="U45" i="1"/>
  <c r="T45" i="1" s="1"/>
  <c r="W45" i="1"/>
  <c r="V45" i="1" s="1"/>
  <c r="M46" i="1"/>
  <c r="O46" i="1"/>
  <c r="N46" i="1" s="1"/>
  <c r="U46" i="1"/>
  <c r="T46" i="1" s="1"/>
  <c r="W46" i="1"/>
  <c r="V46" i="1" s="1"/>
  <c r="M47" i="1"/>
  <c r="O47" i="1"/>
  <c r="N47" i="1" s="1"/>
  <c r="U47" i="1"/>
  <c r="T47" i="1" s="1"/>
  <c r="W47" i="1"/>
  <c r="V47" i="1" s="1"/>
  <c r="M48" i="1"/>
  <c r="O48" i="1"/>
  <c r="N48" i="1" s="1"/>
  <c r="U48" i="1"/>
  <c r="T48" i="1" s="1"/>
  <c r="W48" i="1"/>
  <c r="V48" i="1" s="1"/>
  <c r="M49" i="1"/>
  <c r="O49" i="1"/>
  <c r="N49" i="1" s="1"/>
  <c r="U49" i="1"/>
  <c r="T49" i="1" s="1"/>
  <c r="W49" i="1"/>
  <c r="V49" i="1" s="1"/>
  <c r="M50" i="1"/>
  <c r="O50" i="1"/>
  <c r="N50" i="1" s="1"/>
  <c r="U50" i="1"/>
  <c r="T50" i="1" s="1"/>
  <c r="W50" i="1"/>
  <c r="V50" i="1" s="1"/>
  <c r="M52" i="1"/>
  <c r="O52" i="1"/>
  <c r="N52" i="1" s="1"/>
  <c r="U52" i="1"/>
  <c r="T52" i="1" s="1"/>
  <c r="W52" i="1"/>
  <c r="V52" i="1" s="1"/>
  <c r="M53" i="1"/>
  <c r="O53" i="1"/>
  <c r="N53" i="1" s="1"/>
  <c r="U53" i="1"/>
  <c r="T53" i="1" s="1"/>
  <c r="W53" i="1"/>
  <c r="V53" i="1" s="1"/>
  <c r="M54" i="1"/>
  <c r="O54" i="1"/>
  <c r="N54" i="1" s="1"/>
  <c r="U54" i="1"/>
  <c r="T54" i="1" s="1"/>
  <c r="W54" i="1"/>
  <c r="V54" i="1" s="1"/>
  <c r="M55" i="1"/>
  <c r="O55" i="1"/>
  <c r="N55" i="1" s="1"/>
  <c r="U55" i="1"/>
  <c r="T55" i="1" s="1"/>
  <c r="W55" i="1"/>
  <c r="V55" i="1" s="1"/>
  <c r="M56" i="1"/>
  <c r="O56" i="1"/>
  <c r="N56" i="1" s="1"/>
  <c r="U56" i="1"/>
  <c r="T56" i="1" s="1"/>
  <c r="W56" i="1"/>
  <c r="V56" i="1" s="1"/>
  <c r="M57" i="1"/>
  <c r="O57" i="1"/>
  <c r="N57" i="1" s="1"/>
  <c r="U57" i="1"/>
  <c r="T57" i="1" s="1"/>
  <c r="W57" i="1"/>
  <c r="V57" i="1" s="1"/>
  <c r="M58" i="1"/>
  <c r="O58" i="1"/>
  <c r="N58" i="1" s="1"/>
  <c r="U58" i="1"/>
  <c r="T58" i="1" s="1"/>
  <c r="W58" i="1"/>
  <c r="V58" i="1" s="1"/>
  <c r="M59" i="1"/>
  <c r="O59" i="1"/>
  <c r="N59" i="1" s="1"/>
  <c r="U59" i="1"/>
  <c r="T59" i="1" s="1"/>
  <c r="W59" i="1"/>
  <c r="V59" i="1" s="1"/>
  <c r="M60" i="1"/>
  <c r="O60" i="1"/>
  <c r="N60" i="1" s="1"/>
  <c r="U60" i="1"/>
  <c r="T60" i="1" s="1"/>
  <c r="W60" i="1"/>
  <c r="V60" i="1" s="1"/>
  <c r="M61" i="1"/>
  <c r="O61" i="1"/>
  <c r="N61" i="1" s="1"/>
  <c r="U61" i="1"/>
  <c r="T61" i="1" s="1"/>
  <c r="W61" i="1"/>
  <c r="V61" i="1" s="1"/>
  <c r="M62" i="1"/>
  <c r="O62" i="1"/>
  <c r="N62" i="1" s="1"/>
  <c r="U62" i="1"/>
  <c r="T62" i="1" s="1"/>
  <c r="W62" i="1"/>
  <c r="V62" i="1" s="1"/>
  <c r="M63" i="1"/>
  <c r="O63" i="1"/>
  <c r="N63" i="1" s="1"/>
  <c r="U63" i="1"/>
  <c r="T63" i="1" s="1"/>
  <c r="W63" i="1"/>
  <c r="V63" i="1" s="1"/>
  <c r="M65" i="1"/>
  <c r="O65" i="1"/>
  <c r="N65" i="1" s="1"/>
  <c r="U65" i="1"/>
  <c r="T65" i="1" s="1"/>
  <c r="W65" i="1"/>
  <c r="V65" i="1" s="1"/>
  <c r="M66" i="1"/>
  <c r="O66" i="1"/>
  <c r="N66" i="1" s="1"/>
  <c r="U66" i="1"/>
  <c r="T66" i="1" s="1"/>
  <c r="W66" i="1"/>
  <c r="V66" i="1" s="1"/>
  <c r="M67" i="1"/>
  <c r="O67" i="1"/>
  <c r="N67" i="1" s="1"/>
  <c r="U67" i="1"/>
  <c r="T67" i="1" s="1"/>
  <c r="W67" i="1"/>
  <c r="V67" i="1" s="1"/>
  <c r="M68" i="1"/>
  <c r="O68" i="1"/>
  <c r="N68" i="1" s="1"/>
  <c r="U68" i="1"/>
  <c r="T68" i="1" s="1"/>
  <c r="W68" i="1"/>
  <c r="V68" i="1" s="1"/>
  <c r="M69" i="1"/>
  <c r="O69" i="1"/>
  <c r="N69" i="1" s="1"/>
  <c r="U69" i="1"/>
  <c r="T69" i="1" s="1"/>
  <c r="W69" i="1"/>
  <c r="V69" i="1" s="1"/>
  <c r="M70" i="1"/>
  <c r="O70" i="1"/>
  <c r="N70" i="1" s="1"/>
  <c r="U70" i="1"/>
  <c r="T70" i="1" s="1"/>
  <c r="W70" i="1"/>
  <c r="V70" i="1" s="1"/>
  <c r="M71" i="1"/>
  <c r="O71" i="1"/>
  <c r="N71" i="1" s="1"/>
  <c r="U71" i="1"/>
  <c r="T71" i="1" s="1"/>
  <c r="W71" i="1"/>
  <c r="V71" i="1" s="1"/>
  <c r="M72" i="1"/>
  <c r="O72" i="1"/>
  <c r="N72" i="1" s="1"/>
  <c r="U72" i="1"/>
  <c r="T72" i="1" s="1"/>
  <c r="W72" i="1"/>
  <c r="V72" i="1" s="1"/>
  <c r="M73" i="1"/>
  <c r="O73" i="1"/>
  <c r="N73" i="1" s="1"/>
  <c r="U73" i="1"/>
  <c r="T73" i="1" s="1"/>
  <c r="W73" i="1"/>
  <c r="V73" i="1" s="1"/>
  <c r="M74" i="1"/>
  <c r="O74" i="1"/>
  <c r="N74" i="1" s="1"/>
  <c r="U74" i="1"/>
  <c r="T74" i="1" s="1"/>
  <c r="W74" i="1"/>
  <c r="V74" i="1" s="1"/>
  <c r="M82" i="1"/>
  <c r="O82" i="1"/>
  <c r="N82" i="1" s="1"/>
  <c r="U82" i="1"/>
  <c r="T82" i="1" s="1"/>
  <c r="W82" i="1"/>
  <c r="V82" i="1" s="1"/>
  <c r="M87" i="1"/>
  <c r="O87" i="1"/>
  <c r="N87" i="1" s="1"/>
  <c r="U87" i="1"/>
  <c r="T87" i="1" s="1"/>
  <c r="W87" i="1"/>
  <c r="V87" i="1" s="1"/>
  <c r="M88" i="1"/>
  <c r="O88" i="1"/>
  <c r="N88" i="1" s="1"/>
  <c r="U88" i="1"/>
  <c r="T88" i="1" s="1"/>
  <c r="W88" i="1"/>
  <c r="V88" i="1" s="1"/>
  <c r="M90" i="1"/>
  <c r="O90" i="1"/>
  <c r="N90" i="1" s="1"/>
  <c r="U90" i="1"/>
  <c r="T90" i="1" s="1"/>
  <c r="W90" i="1"/>
  <c r="V90" i="1" s="1"/>
  <c r="M91" i="1"/>
  <c r="O91" i="1"/>
  <c r="N91" i="1" s="1"/>
  <c r="U91" i="1"/>
  <c r="T91" i="1" s="1"/>
  <c r="W91" i="1"/>
  <c r="V91" i="1" s="1"/>
  <c r="M92" i="1"/>
  <c r="O92" i="1"/>
  <c r="N92" i="1" s="1"/>
  <c r="U92" i="1"/>
  <c r="T92" i="1" s="1"/>
  <c r="W92" i="1"/>
  <c r="V92" i="1" s="1"/>
  <c r="M93" i="1"/>
  <c r="O93" i="1"/>
  <c r="N93" i="1" s="1"/>
  <c r="U93" i="1"/>
  <c r="T93" i="1" s="1"/>
  <c r="W93" i="1"/>
  <c r="V93" i="1" s="1"/>
  <c r="M94" i="1"/>
  <c r="O94" i="1"/>
  <c r="N94" i="1" s="1"/>
  <c r="U94" i="1"/>
  <c r="T94" i="1" s="1"/>
  <c r="W94" i="1"/>
  <c r="V94" i="1" s="1"/>
  <c r="M95" i="1"/>
  <c r="O95" i="1"/>
  <c r="N95" i="1" s="1"/>
  <c r="U95" i="1"/>
  <c r="T95" i="1" s="1"/>
  <c r="W95" i="1"/>
  <c r="V95" i="1" s="1"/>
  <c r="M96" i="1"/>
  <c r="O96" i="1"/>
  <c r="N96" i="1" s="1"/>
  <c r="U96" i="1"/>
  <c r="T96" i="1" s="1"/>
  <c r="W96" i="1"/>
  <c r="V96" i="1" s="1"/>
  <c r="M98" i="1"/>
  <c r="O98" i="1"/>
  <c r="N98" i="1" s="1"/>
  <c r="U98" i="1"/>
  <c r="T98" i="1" s="1"/>
  <c r="W98" i="1"/>
  <c r="V98" i="1" s="1"/>
  <c r="M99" i="1"/>
  <c r="O99" i="1"/>
  <c r="N99" i="1" s="1"/>
  <c r="U99" i="1"/>
  <c r="T99" i="1" s="1"/>
  <c r="W99" i="1"/>
  <c r="V99" i="1" s="1"/>
  <c r="W37" i="1"/>
  <c r="W36" i="1"/>
  <c r="U37" i="1"/>
  <c r="U36" i="1"/>
  <c r="M36" i="1"/>
  <c r="O37" i="1"/>
  <c r="N37" i="1" s="1"/>
  <c r="M37" i="1"/>
  <c r="Y129" i="1"/>
  <c r="X129" i="1" s="1"/>
  <c r="Y128" i="1"/>
  <c r="X128" i="1" s="1"/>
  <c r="Y133" i="1"/>
  <c r="X133" i="1" s="1"/>
  <c r="Y131" i="1"/>
  <c r="X131" i="1" s="1"/>
  <c r="Y119" i="1"/>
  <c r="X119" i="1" s="1"/>
  <c r="Y120" i="1"/>
  <c r="X120" i="1" s="1"/>
  <c r="Y121" i="1"/>
  <c r="X121" i="1" s="1"/>
  <c r="Y122" i="1"/>
  <c r="X122" i="1" s="1"/>
  <c r="Y124" i="1"/>
  <c r="X124" i="1" s="1"/>
  <c r="Y125" i="1"/>
  <c r="X125" i="1" s="1"/>
  <c r="Y126" i="1"/>
  <c r="X126" i="1" s="1"/>
  <c r="Y127" i="1"/>
  <c r="X127" i="1" s="1"/>
  <c r="Y118" i="1"/>
  <c r="X118" i="1" s="1"/>
  <c r="Y117" i="1"/>
  <c r="X117" i="1" s="1"/>
  <c r="Y113" i="1"/>
  <c r="X113" i="1" s="1"/>
  <c r="Y109" i="1"/>
  <c r="X109" i="1" s="1"/>
  <c r="Y110" i="1"/>
  <c r="X110" i="1" s="1"/>
  <c r="Y108" i="1"/>
  <c r="X108" i="1" s="1"/>
  <c r="Y130" i="1"/>
  <c r="X130" i="1" s="1"/>
  <c r="Y107" i="1"/>
  <c r="X107" i="1" s="1"/>
  <c r="Y101" i="1"/>
  <c r="X101" i="1" s="1"/>
  <c r="Y99" i="1"/>
  <c r="X99" i="1" s="1"/>
  <c r="Y39" i="1"/>
  <c r="X39" i="1" s="1"/>
  <c r="Y40" i="1"/>
  <c r="X40" i="1" s="1"/>
  <c r="Y41" i="1"/>
  <c r="X41" i="1" s="1"/>
  <c r="Y42" i="1"/>
  <c r="X42" i="1" s="1"/>
  <c r="Y43" i="1"/>
  <c r="X43" i="1" s="1"/>
  <c r="Y44" i="1"/>
  <c r="X44" i="1" s="1"/>
  <c r="Y45" i="1"/>
  <c r="X45" i="1" s="1"/>
  <c r="Y46" i="1"/>
  <c r="X46" i="1" s="1"/>
  <c r="Y47" i="1"/>
  <c r="X47" i="1" s="1"/>
  <c r="Y48" i="1"/>
  <c r="X48" i="1" s="1"/>
  <c r="Y49" i="1"/>
  <c r="X49" i="1" s="1"/>
  <c r="Y50" i="1"/>
  <c r="X50" i="1" s="1"/>
  <c r="Y52" i="1"/>
  <c r="X52" i="1" s="1"/>
  <c r="Y53" i="1"/>
  <c r="X53" i="1" s="1"/>
  <c r="Y54" i="1"/>
  <c r="X54" i="1" s="1"/>
  <c r="Y55" i="1"/>
  <c r="X55" i="1" s="1"/>
  <c r="Y56" i="1"/>
  <c r="X56" i="1" s="1"/>
  <c r="Y57" i="1"/>
  <c r="X57" i="1" s="1"/>
  <c r="Y58" i="1"/>
  <c r="X58" i="1" s="1"/>
  <c r="Y59" i="1"/>
  <c r="X59" i="1" s="1"/>
  <c r="Y60" i="1"/>
  <c r="X60" i="1" s="1"/>
  <c r="Y61" i="1"/>
  <c r="X61" i="1" s="1"/>
  <c r="Y62" i="1"/>
  <c r="X62" i="1" s="1"/>
  <c r="Y63" i="1"/>
  <c r="X63" i="1" s="1"/>
  <c r="Y65" i="1"/>
  <c r="X65" i="1" s="1"/>
  <c r="Y66" i="1"/>
  <c r="X66" i="1" s="1"/>
  <c r="Y67" i="1"/>
  <c r="X67" i="1" s="1"/>
  <c r="Y68" i="1"/>
  <c r="X68" i="1" s="1"/>
  <c r="Y69" i="1"/>
  <c r="X69" i="1" s="1"/>
  <c r="Y70" i="1"/>
  <c r="X70" i="1" s="1"/>
  <c r="Y71" i="1"/>
  <c r="X71" i="1" s="1"/>
  <c r="Y72" i="1"/>
  <c r="X72" i="1" s="1"/>
  <c r="Y73" i="1"/>
  <c r="X73" i="1" s="1"/>
  <c r="Y74" i="1"/>
  <c r="X74" i="1" s="1"/>
  <c r="Y82" i="1"/>
  <c r="X82" i="1" s="1"/>
  <c r="Y87" i="1"/>
  <c r="X87" i="1" s="1"/>
  <c r="Y88" i="1"/>
  <c r="X88" i="1" s="1"/>
  <c r="Y90" i="1"/>
  <c r="X90" i="1" s="1"/>
  <c r="Y91" i="1"/>
  <c r="X91" i="1" s="1"/>
  <c r="Y92" i="1"/>
  <c r="X92" i="1" s="1"/>
  <c r="Y93" i="1"/>
  <c r="X93" i="1" s="1"/>
  <c r="Y94" i="1"/>
  <c r="X94" i="1" s="1"/>
  <c r="Y95" i="1"/>
  <c r="X95" i="1" s="1"/>
  <c r="Y96" i="1"/>
  <c r="X96" i="1" s="1"/>
  <c r="Y98" i="1"/>
  <c r="X98" i="1" s="1"/>
  <c r="Y38" i="1"/>
  <c r="X38" i="1" s="1"/>
  <c r="Y37" i="1"/>
  <c r="X37" i="1" s="1"/>
  <c r="Y36" i="1"/>
  <c r="X36" i="1" s="1"/>
  <c r="X100" i="1"/>
  <c r="X102" i="1"/>
  <c r="H100" i="1"/>
  <c r="H102" i="1"/>
  <c r="I129" i="1"/>
  <c r="H129" i="1" s="1"/>
  <c r="I128" i="1"/>
  <c r="H128" i="1" s="1"/>
  <c r="I127" i="1"/>
  <c r="H127" i="1" s="1"/>
  <c r="I120" i="1"/>
  <c r="H120" i="1" s="1"/>
  <c r="I121" i="1"/>
  <c r="H121" i="1" s="1"/>
  <c r="I122" i="1"/>
  <c r="H122" i="1" s="1"/>
  <c r="I124" i="1"/>
  <c r="H124" i="1" s="1"/>
  <c r="I125" i="1"/>
  <c r="H125" i="1" s="1"/>
  <c r="I126" i="1"/>
  <c r="H126" i="1" s="1"/>
  <c r="I119" i="1"/>
  <c r="H119" i="1" s="1"/>
  <c r="I118" i="1"/>
  <c r="H118" i="1" s="1"/>
  <c r="I117" i="1"/>
  <c r="H117" i="1" s="1"/>
  <c r="I133" i="1"/>
  <c r="H133" i="1" s="1"/>
  <c r="I131" i="1"/>
  <c r="H131" i="1" s="1"/>
  <c r="I113" i="1"/>
  <c r="H113" i="1" s="1"/>
  <c r="I110" i="1"/>
  <c r="H110" i="1" s="1"/>
  <c r="I109" i="1"/>
  <c r="H109" i="1" s="1"/>
  <c r="I108" i="1"/>
  <c r="H108" i="1" s="1"/>
  <c r="I107" i="1"/>
  <c r="H107" i="1" s="1"/>
  <c r="I130" i="1"/>
  <c r="H130" i="1" s="1"/>
  <c r="I101" i="1"/>
  <c r="H101" i="1" s="1"/>
  <c r="I38" i="1"/>
  <c r="H38" i="1" s="1"/>
  <c r="I39" i="1"/>
  <c r="H39" i="1" s="1"/>
  <c r="I40" i="1"/>
  <c r="H40" i="1" s="1"/>
  <c r="I41" i="1"/>
  <c r="H41" i="1" s="1"/>
  <c r="I42" i="1"/>
  <c r="H42" i="1" s="1"/>
  <c r="I43" i="1"/>
  <c r="H43" i="1" s="1"/>
  <c r="I44" i="1"/>
  <c r="H44" i="1" s="1"/>
  <c r="I45" i="1"/>
  <c r="H45" i="1" s="1"/>
  <c r="I46" i="1"/>
  <c r="H46" i="1" s="1"/>
  <c r="I47" i="1"/>
  <c r="H47" i="1" s="1"/>
  <c r="I48" i="1"/>
  <c r="H48" i="1" s="1"/>
  <c r="I49" i="1"/>
  <c r="H49" i="1" s="1"/>
  <c r="I50" i="1"/>
  <c r="H50" i="1" s="1"/>
  <c r="I52" i="1"/>
  <c r="H52" i="1" s="1"/>
  <c r="I53" i="1"/>
  <c r="H53" i="1" s="1"/>
  <c r="I54" i="1"/>
  <c r="H54" i="1" s="1"/>
  <c r="I55" i="1"/>
  <c r="H55" i="1" s="1"/>
  <c r="I56" i="1"/>
  <c r="H56" i="1" s="1"/>
  <c r="I57" i="1"/>
  <c r="H57" i="1" s="1"/>
  <c r="I58" i="1"/>
  <c r="H58" i="1" s="1"/>
  <c r="I59" i="1"/>
  <c r="H59" i="1" s="1"/>
  <c r="I60" i="1"/>
  <c r="H60" i="1" s="1"/>
  <c r="I61" i="1"/>
  <c r="H61" i="1" s="1"/>
  <c r="I62" i="1"/>
  <c r="H62" i="1" s="1"/>
  <c r="I63" i="1"/>
  <c r="H63" i="1" s="1"/>
  <c r="I65" i="1"/>
  <c r="H65" i="1" s="1"/>
  <c r="I66" i="1"/>
  <c r="H66" i="1" s="1"/>
  <c r="I67" i="1"/>
  <c r="H67" i="1" s="1"/>
  <c r="I68" i="1"/>
  <c r="H68" i="1" s="1"/>
  <c r="I69" i="1"/>
  <c r="H69" i="1" s="1"/>
  <c r="I70" i="1"/>
  <c r="H70" i="1" s="1"/>
  <c r="I71" i="1"/>
  <c r="H71" i="1" s="1"/>
  <c r="I72" i="1"/>
  <c r="H72" i="1" s="1"/>
  <c r="I73" i="1"/>
  <c r="H73" i="1" s="1"/>
  <c r="I74" i="1"/>
  <c r="H74" i="1" s="1"/>
  <c r="I82" i="1"/>
  <c r="H82" i="1" s="1"/>
  <c r="I87" i="1"/>
  <c r="H87" i="1" s="1"/>
  <c r="I88" i="1"/>
  <c r="H88" i="1" s="1"/>
  <c r="I90" i="1"/>
  <c r="H90" i="1" s="1"/>
  <c r="I91" i="1"/>
  <c r="H91" i="1" s="1"/>
  <c r="I92" i="1"/>
  <c r="H92" i="1" s="1"/>
  <c r="I93" i="1"/>
  <c r="H93" i="1" s="1"/>
  <c r="I94" i="1"/>
  <c r="H94" i="1" s="1"/>
  <c r="I95" i="1"/>
  <c r="H95" i="1" s="1"/>
  <c r="I96" i="1"/>
  <c r="H96" i="1" s="1"/>
  <c r="I98" i="1"/>
  <c r="H98" i="1" s="1"/>
  <c r="I99" i="1"/>
  <c r="H99" i="1" s="1"/>
  <c r="I37" i="1"/>
  <c r="H37" i="1" s="1"/>
  <c r="I36" i="1"/>
  <c r="H36" i="1" s="1"/>
  <c r="G133" i="1"/>
  <c r="G131" i="1"/>
  <c r="G130" i="1"/>
  <c r="G129" i="1"/>
  <c r="G128" i="1"/>
  <c r="G127" i="1"/>
  <c r="G126" i="1"/>
  <c r="G125" i="1"/>
  <c r="G124" i="1"/>
  <c r="G122" i="1"/>
  <c r="G121" i="1"/>
  <c r="G120" i="1"/>
  <c r="G119" i="1"/>
  <c r="G118" i="1"/>
  <c r="G117" i="1"/>
  <c r="G113" i="1"/>
  <c r="G110" i="1"/>
  <c r="G109" i="1"/>
  <c r="G108" i="1"/>
  <c r="G107" i="1"/>
  <c r="G101" i="1"/>
  <c r="G38" i="1"/>
  <c r="F38" i="1" s="1"/>
  <c r="G39" i="1"/>
  <c r="F39" i="1" s="1"/>
  <c r="G40" i="1"/>
  <c r="F40" i="1" s="1"/>
  <c r="G41" i="1"/>
  <c r="F41" i="1" s="1"/>
  <c r="G42" i="1"/>
  <c r="F42" i="1" s="1"/>
  <c r="G43" i="1"/>
  <c r="F43" i="1" s="1"/>
  <c r="G44" i="1"/>
  <c r="F44" i="1" s="1"/>
  <c r="G45" i="1"/>
  <c r="F45" i="1" s="1"/>
  <c r="G46" i="1"/>
  <c r="F46" i="1" s="1"/>
  <c r="G47" i="1"/>
  <c r="F47" i="1" s="1"/>
  <c r="G48" i="1"/>
  <c r="F48" i="1" s="1"/>
  <c r="G49" i="1"/>
  <c r="F49" i="1" s="1"/>
  <c r="G50" i="1"/>
  <c r="F50" i="1" s="1"/>
  <c r="G52" i="1"/>
  <c r="F52" i="1" s="1"/>
  <c r="G53" i="1"/>
  <c r="F53" i="1" s="1"/>
  <c r="G54" i="1"/>
  <c r="F54" i="1" s="1"/>
  <c r="G55" i="1"/>
  <c r="F55" i="1" s="1"/>
  <c r="G56" i="1"/>
  <c r="F56" i="1" s="1"/>
  <c r="G57" i="1"/>
  <c r="G58" i="1"/>
  <c r="G59" i="1"/>
  <c r="G60" i="1"/>
  <c r="G61" i="1"/>
  <c r="G62" i="1"/>
  <c r="G63" i="1"/>
  <c r="G65" i="1"/>
  <c r="G66" i="1"/>
  <c r="G67" i="1"/>
  <c r="G68" i="1"/>
  <c r="G69" i="1"/>
  <c r="G70" i="1"/>
  <c r="G71" i="1"/>
  <c r="G72" i="1"/>
  <c r="G73" i="1"/>
  <c r="G74" i="1"/>
  <c r="G82" i="1"/>
  <c r="G87" i="1"/>
  <c r="G88" i="1"/>
  <c r="G90" i="1"/>
  <c r="G91" i="1"/>
  <c r="G92" i="1"/>
  <c r="G93" i="1"/>
  <c r="G94" i="1"/>
  <c r="G95" i="1"/>
  <c r="G96" i="1"/>
  <c r="G98" i="1"/>
  <c r="G99" i="1"/>
  <c r="G37" i="1"/>
  <c r="F37" i="1" s="1"/>
  <c r="G36" i="1"/>
  <c r="F36" i="1" s="1"/>
  <c r="AE30" i="1" l="1"/>
  <c r="AE29" i="1"/>
  <c r="AE28" i="1"/>
  <c r="AE27" i="1"/>
  <c r="AE26" i="1"/>
  <c r="AE25" i="1"/>
  <c r="AE32" i="1"/>
  <c r="AE24" i="1"/>
  <c r="AE20" i="1"/>
  <c r="AE11" i="1"/>
  <c r="AE12" i="1"/>
  <c r="AE13" i="1"/>
  <c r="AE14" i="1"/>
  <c r="AE15" i="1"/>
  <c r="AE16" i="1"/>
  <c r="AE18" i="1"/>
  <c r="AE10" i="1"/>
  <c r="O36" i="1"/>
  <c r="N36" i="1" s="1"/>
  <c r="O27" i="1"/>
  <c r="O26" i="1"/>
  <c r="O24" i="1"/>
  <c r="O23" i="1"/>
  <c r="M24" i="1"/>
  <c r="M23" i="1"/>
  <c r="G24" i="1"/>
  <c r="G23" i="1"/>
  <c r="AA11" i="1" l="1"/>
  <c r="AA12" i="1"/>
  <c r="AA13" i="1"/>
  <c r="AA14" i="1"/>
  <c r="AA15" i="1"/>
  <c r="AA16" i="1"/>
  <c r="AA18" i="1"/>
  <c r="AA19" i="1"/>
  <c r="AA20" i="1"/>
  <c r="AA23" i="1"/>
  <c r="AA24" i="1"/>
  <c r="AA25" i="1"/>
  <c r="AA26" i="1"/>
  <c r="AA27" i="1"/>
  <c r="AA28" i="1"/>
  <c r="AA29" i="1"/>
  <c r="AA30" i="1"/>
  <c r="AA32" i="1"/>
  <c r="AA10" i="1"/>
  <c r="I11" i="1"/>
  <c r="I12" i="1"/>
  <c r="I13" i="1"/>
  <c r="I14" i="1"/>
  <c r="I15" i="1"/>
  <c r="I16" i="1"/>
  <c r="I18" i="1"/>
  <c r="I19" i="1"/>
  <c r="I20" i="1"/>
  <c r="I23" i="1"/>
  <c r="I24" i="1"/>
  <c r="I25" i="1"/>
  <c r="I26" i="1"/>
  <c r="I27" i="1"/>
  <c r="I28" i="1"/>
  <c r="I29" i="1"/>
  <c r="I30" i="1"/>
  <c r="I10" i="1"/>
  <c r="AC11" i="1"/>
  <c r="AC12" i="1"/>
  <c r="AC13" i="1"/>
  <c r="AC14" i="1"/>
  <c r="AC15" i="1"/>
  <c r="AC16" i="1"/>
  <c r="AC23" i="1"/>
  <c r="AC24" i="1"/>
  <c r="AC25" i="1"/>
  <c r="AC26" i="1"/>
  <c r="AC27" i="1"/>
  <c r="AC28" i="1"/>
  <c r="AC29" i="1"/>
  <c r="AC30" i="1"/>
  <c r="AC32" i="1"/>
  <c r="AC10" i="1"/>
  <c r="S11" i="1"/>
  <c r="S12" i="1"/>
  <c r="S13" i="1"/>
  <c r="S14" i="1"/>
  <c r="S15" i="1"/>
  <c r="S16" i="1"/>
  <c r="S25" i="1"/>
  <c r="S26" i="1"/>
  <c r="S27" i="1"/>
  <c r="S28" i="1"/>
  <c r="S29" i="1"/>
  <c r="S30" i="1"/>
  <c r="S10" i="1"/>
  <c r="K11" i="1"/>
  <c r="K12" i="1"/>
  <c r="K13" i="1"/>
  <c r="K14" i="1"/>
  <c r="K15" i="1"/>
  <c r="K16" i="1"/>
  <c r="K25" i="1"/>
  <c r="K26" i="1"/>
  <c r="K27" i="1"/>
  <c r="K28" i="1"/>
  <c r="K29" i="1"/>
  <c r="K30" i="1"/>
  <c r="K32" i="1"/>
  <c r="K10" i="1"/>
  <c r="AC19" i="1" l="1"/>
  <c r="AB19" i="1" s="1"/>
  <c r="AB17" i="1" s="1"/>
  <c r="AC17" i="1" s="1"/>
  <c r="AC18" i="1"/>
  <c r="AB18" i="1" s="1"/>
  <c r="AC20" i="1"/>
  <c r="AB20" i="1" s="1"/>
  <c r="S20" i="1"/>
  <c r="R20" i="1" s="1"/>
  <c r="S18" i="1"/>
  <c r="R18" i="1" s="1"/>
  <c r="S19" i="1"/>
  <c r="R19" i="1" s="1"/>
  <c r="K20" i="1"/>
  <c r="J20" i="1" s="1"/>
  <c r="K19" i="1"/>
  <c r="J19" i="1" s="1"/>
  <c r="K17" i="1" s="1"/>
  <c r="K18" i="1"/>
  <c r="E133" i="1"/>
  <c r="E131" i="1"/>
  <c r="E129" i="1"/>
  <c r="E128" i="1"/>
  <c r="E127" i="1"/>
  <c r="E126" i="1"/>
  <c r="E125" i="1"/>
  <c r="E124" i="1"/>
  <c r="E122" i="1"/>
  <c r="E121" i="1"/>
  <c r="E120" i="1"/>
  <c r="E119" i="1"/>
  <c r="E118" i="1"/>
  <c r="E117" i="1"/>
  <c r="E113" i="1"/>
  <c r="E110" i="1"/>
  <c r="E109" i="1"/>
  <c r="E108" i="1"/>
  <c r="E107" i="1"/>
  <c r="E88" i="1"/>
  <c r="E87" i="1"/>
  <c r="E82" i="1"/>
  <c r="E36" i="1"/>
  <c r="E130" i="1"/>
  <c r="E98" i="1"/>
  <c r="E96" i="1"/>
  <c r="E95" i="1"/>
  <c r="E94" i="1"/>
  <c r="E93" i="1"/>
  <c r="E92" i="1"/>
  <c r="E91" i="1"/>
  <c r="E90" i="1"/>
  <c r="E74" i="1"/>
  <c r="E73" i="1"/>
  <c r="E72" i="1"/>
  <c r="E71" i="1"/>
  <c r="E70" i="1"/>
  <c r="E69" i="1"/>
  <c r="E68" i="1"/>
  <c r="E67" i="1"/>
  <c r="E66" i="1"/>
  <c r="E65" i="1"/>
  <c r="E63" i="1"/>
  <c r="E62" i="1"/>
  <c r="E61" i="1"/>
  <c r="E60" i="1"/>
  <c r="E59" i="1"/>
  <c r="E58" i="1"/>
  <c r="E57" i="1"/>
  <c r="E56" i="1"/>
  <c r="E55" i="1"/>
  <c r="E54" i="1"/>
  <c r="E53" i="1"/>
  <c r="E52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2" i="1"/>
  <c r="E30" i="1"/>
  <c r="E29" i="1"/>
  <c r="E28" i="1"/>
  <c r="E27" i="1"/>
  <c r="E26" i="1"/>
  <c r="E25" i="1"/>
  <c r="E24" i="1"/>
  <c r="E23" i="1"/>
  <c r="E13" i="1"/>
  <c r="E14" i="1"/>
  <c r="E15" i="1"/>
  <c r="E16" i="1"/>
  <c r="E18" i="1"/>
  <c r="E19" i="1"/>
  <c r="E20" i="1"/>
  <c r="E12" i="1"/>
  <c r="E11" i="1"/>
  <c r="E10" i="1"/>
  <c r="E102" i="1"/>
  <c r="R17" i="1" l="1"/>
  <c r="S17" i="1" s="1"/>
  <c r="E100" i="1"/>
  <c r="G11" i="1" l="1"/>
  <c r="G12" i="1"/>
  <c r="G13" i="1"/>
  <c r="G14" i="1"/>
  <c r="G15" i="1"/>
  <c r="G16" i="1"/>
  <c r="G18" i="1"/>
  <c r="G19" i="1"/>
  <c r="G20" i="1"/>
  <c r="G25" i="1"/>
  <c r="G26" i="1"/>
  <c r="G27" i="1"/>
  <c r="G28" i="1"/>
  <c r="G29" i="1"/>
  <c r="G30" i="1"/>
  <c r="G32" i="1"/>
  <c r="F57" i="1"/>
  <c r="F58" i="1"/>
  <c r="F59" i="1"/>
  <c r="F60" i="1"/>
  <c r="F61" i="1"/>
  <c r="F62" i="1"/>
  <c r="F63" i="1"/>
  <c r="F65" i="1"/>
  <c r="F66" i="1"/>
  <c r="F67" i="1"/>
  <c r="F68" i="1"/>
  <c r="F69" i="1"/>
  <c r="F70" i="1"/>
  <c r="F71" i="1"/>
  <c r="F72" i="1"/>
  <c r="F73" i="1"/>
  <c r="F74" i="1"/>
  <c r="F82" i="1"/>
  <c r="F87" i="1"/>
  <c r="F88" i="1"/>
  <c r="F90" i="1"/>
  <c r="F91" i="1"/>
  <c r="F92" i="1"/>
  <c r="F93" i="1"/>
  <c r="F94" i="1"/>
  <c r="F95" i="1"/>
  <c r="F96" i="1"/>
  <c r="F98" i="1"/>
  <c r="F99" i="1"/>
  <c r="F100" i="1"/>
  <c r="F101" i="1"/>
  <c r="F102" i="1"/>
  <c r="F107" i="1"/>
  <c r="F108" i="1"/>
  <c r="F109" i="1"/>
  <c r="F110" i="1"/>
  <c r="F113" i="1"/>
  <c r="F117" i="1"/>
  <c r="F118" i="1"/>
  <c r="F119" i="1"/>
  <c r="F120" i="1"/>
  <c r="F121" i="1"/>
  <c r="F122" i="1"/>
  <c r="F124" i="1"/>
  <c r="F125" i="1"/>
  <c r="F126" i="1"/>
  <c r="F127" i="1"/>
  <c r="F128" i="1"/>
  <c r="F129" i="1"/>
  <c r="F130" i="1"/>
  <c r="F131" i="1"/>
  <c r="F133" i="1"/>
  <c r="D102" i="1" l="1"/>
  <c r="D100" i="1"/>
  <c r="W32" i="1" l="1"/>
  <c r="V36" i="1" s="1"/>
  <c r="W30" i="1"/>
  <c r="W29" i="1"/>
  <c r="W28" i="1"/>
  <c r="W27" i="1"/>
  <c r="W26" i="1"/>
  <c r="W25" i="1"/>
  <c r="W20" i="1"/>
  <c r="W19" i="1"/>
  <c r="W18" i="1"/>
  <c r="W16" i="1"/>
  <c r="W15" i="1"/>
  <c r="W14" i="1"/>
  <c r="W13" i="1"/>
  <c r="W12" i="1"/>
  <c r="W11" i="1"/>
  <c r="W10" i="1"/>
  <c r="U11" i="1"/>
  <c r="U12" i="1"/>
  <c r="U13" i="1"/>
  <c r="U14" i="1"/>
  <c r="U15" i="1"/>
  <c r="U16" i="1"/>
  <c r="U18" i="1"/>
  <c r="U19" i="1"/>
  <c r="U20" i="1"/>
  <c r="U25" i="1"/>
  <c r="U26" i="1"/>
  <c r="U27" i="1"/>
  <c r="U28" i="1"/>
  <c r="U29" i="1"/>
  <c r="U30" i="1"/>
  <c r="U32" i="1"/>
  <c r="U10" i="1"/>
  <c r="V37" i="1"/>
  <c r="V107" i="1"/>
  <c r="V108" i="1"/>
  <c r="V117" i="1"/>
  <c r="V128" i="1"/>
  <c r="D130" i="1" l="1"/>
  <c r="D98" i="1"/>
  <c r="D96" i="1"/>
  <c r="D95" i="1"/>
  <c r="D94" i="1"/>
  <c r="D93" i="1"/>
  <c r="D92" i="1"/>
  <c r="D91" i="1"/>
  <c r="D90" i="1"/>
  <c r="D74" i="1"/>
  <c r="D73" i="1"/>
  <c r="D72" i="1"/>
  <c r="D71" i="1"/>
  <c r="D70" i="1"/>
  <c r="D69" i="1"/>
  <c r="D68" i="1"/>
  <c r="D67" i="1"/>
  <c r="D66" i="1"/>
  <c r="D65" i="1"/>
  <c r="D63" i="1"/>
  <c r="D62" i="1"/>
  <c r="D61" i="1"/>
  <c r="D60" i="1"/>
  <c r="D59" i="1"/>
  <c r="D58" i="1"/>
  <c r="D57" i="1"/>
  <c r="D56" i="1"/>
  <c r="D55" i="1"/>
  <c r="D54" i="1"/>
  <c r="D53" i="1"/>
  <c r="D52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120" i="1"/>
  <c r="AD37" i="1" l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5" i="1"/>
  <c r="AD66" i="1"/>
  <c r="AD67" i="1"/>
  <c r="AD68" i="1"/>
  <c r="AD69" i="1"/>
  <c r="AD70" i="1"/>
  <c r="AD71" i="1"/>
  <c r="AD72" i="1"/>
  <c r="AD73" i="1"/>
  <c r="AD74" i="1"/>
  <c r="AD82" i="1"/>
  <c r="AD87" i="1"/>
  <c r="AD88" i="1"/>
  <c r="AD90" i="1"/>
  <c r="AD91" i="1"/>
  <c r="AD92" i="1"/>
  <c r="AD93" i="1"/>
  <c r="AD94" i="1"/>
  <c r="AD95" i="1"/>
  <c r="AD96" i="1"/>
  <c r="AD98" i="1"/>
  <c r="AD99" i="1"/>
  <c r="AD101" i="1"/>
  <c r="AD107" i="1"/>
  <c r="AD108" i="1"/>
  <c r="AD109" i="1"/>
  <c r="AD110" i="1"/>
  <c r="AD113" i="1"/>
  <c r="AD117" i="1"/>
  <c r="AD118" i="1"/>
  <c r="AD119" i="1"/>
  <c r="AD120" i="1"/>
  <c r="AD121" i="1"/>
  <c r="AD122" i="1"/>
  <c r="AD124" i="1"/>
  <c r="AD125" i="1"/>
  <c r="AD126" i="1"/>
  <c r="AD127" i="1"/>
  <c r="AD128" i="1"/>
  <c r="AD129" i="1"/>
  <c r="AD130" i="1"/>
  <c r="AD131" i="1"/>
  <c r="AD133" i="1"/>
  <c r="AD36" i="1"/>
  <c r="AD11" i="1"/>
  <c r="AD12" i="1"/>
  <c r="AD13" i="1"/>
  <c r="AD14" i="1"/>
  <c r="AD15" i="1"/>
  <c r="AD16" i="1"/>
  <c r="AD18" i="1"/>
  <c r="AD20" i="1"/>
  <c r="AD21" i="1"/>
  <c r="AD22" i="1"/>
  <c r="AD23" i="1"/>
  <c r="AD24" i="1"/>
  <c r="AD32" i="1"/>
  <c r="AD10" i="1"/>
  <c r="L128" i="1" l="1"/>
  <c r="D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2" i="1"/>
  <c r="L53" i="1"/>
  <c r="L54" i="1"/>
  <c r="L55" i="1"/>
  <c r="L56" i="1"/>
  <c r="L57" i="1"/>
  <c r="L58" i="1"/>
  <c r="L59" i="1"/>
  <c r="L60" i="1"/>
  <c r="L61" i="1"/>
  <c r="L62" i="1"/>
  <c r="L63" i="1"/>
  <c r="L65" i="1"/>
  <c r="L66" i="1"/>
  <c r="L67" i="1"/>
  <c r="L68" i="1"/>
  <c r="L69" i="1"/>
  <c r="L70" i="1"/>
  <c r="L71" i="1"/>
  <c r="L72" i="1"/>
  <c r="L73" i="1"/>
  <c r="L74" i="1"/>
  <c r="L82" i="1"/>
  <c r="L87" i="1"/>
  <c r="L88" i="1"/>
  <c r="L90" i="1"/>
  <c r="L91" i="1"/>
  <c r="L92" i="1"/>
  <c r="L93" i="1"/>
  <c r="L94" i="1"/>
  <c r="L95" i="1"/>
  <c r="L96" i="1"/>
  <c r="L98" i="1"/>
  <c r="L99" i="1"/>
  <c r="L101" i="1"/>
  <c r="L107" i="1"/>
  <c r="L108" i="1"/>
  <c r="L109" i="1"/>
  <c r="L110" i="1"/>
  <c r="L113" i="1"/>
  <c r="L117" i="1"/>
  <c r="L118" i="1"/>
  <c r="L119" i="1"/>
  <c r="L120" i="1"/>
  <c r="L121" i="1"/>
  <c r="L122" i="1"/>
  <c r="L124" i="1"/>
  <c r="L125" i="1"/>
  <c r="L126" i="1"/>
  <c r="L127" i="1"/>
  <c r="L129" i="1"/>
  <c r="L130" i="1"/>
  <c r="L131" i="1"/>
  <c r="L133" i="1"/>
  <c r="O20" i="1"/>
  <c r="O25" i="1"/>
  <c r="D133" i="1"/>
  <c r="D131" i="1"/>
  <c r="D113" i="1"/>
  <c r="D117" i="1"/>
  <c r="D118" i="1"/>
  <c r="D119" i="1"/>
  <c r="D121" i="1"/>
  <c r="D122" i="1"/>
  <c r="D124" i="1"/>
  <c r="D125" i="1"/>
  <c r="D126" i="1"/>
  <c r="D127" i="1"/>
  <c r="D128" i="1"/>
  <c r="D129" i="1"/>
  <c r="D108" i="1"/>
  <c r="D109" i="1"/>
  <c r="D110" i="1"/>
  <c r="D107" i="1"/>
  <c r="D87" i="1"/>
  <c r="D88" i="1"/>
  <c r="D82" i="1"/>
  <c r="O11" i="1"/>
  <c r="O12" i="1"/>
  <c r="O13" i="1"/>
  <c r="O14" i="1"/>
  <c r="O15" i="1"/>
  <c r="O16" i="1"/>
  <c r="O18" i="1"/>
  <c r="O19" i="1"/>
  <c r="O28" i="1"/>
  <c r="O29" i="1"/>
  <c r="O30" i="1"/>
  <c r="O32" i="1"/>
  <c r="O10" i="1"/>
  <c r="M10" i="1"/>
  <c r="T128" i="1"/>
  <c r="T117" i="1"/>
  <c r="D11" i="1"/>
  <c r="D12" i="1"/>
  <c r="D13" i="1"/>
  <c r="D14" i="1"/>
  <c r="D15" i="1"/>
  <c r="D16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2" i="1"/>
  <c r="D10" i="1"/>
  <c r="T37" i="1"/>
  <c r="T107" i="1"/>
  <c r="T108" i="1"/>
  <c r="T36" i="1"/>
  <c r="M11" i="1"/>
  <c r="M12" i="1"/>
  <c r="M13" i="1"/>
  <c r="M14" i="1"/>
  <c r="M15" i="1"/>
  <c r="M16" i="1"/>
  <c r="M18" i="1"/>
  <c r="M19" i="1"/>
  <c r="M20" i="1"/>
  <c r="M25" i="1"/>
  <c r="M26" i="1"/>
  <c r="M27" i="1"/>
  <c r="M28" i="1"/>
  <c r="M29" i="1"/>
  <c r="M30" i="1"/>
  <c r="M32" i="1"/>
  <c r="L36" i="1" s="1"/>
  <c r="AD19" i="1" l="1"/>
  <c r="J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Peet Kotzé</author>
  </authors>
  <commentList>
    <comment ref="M43" authorId="0" shapeId="0" xr:uid="{BF602DB3-3FF6-4B0D-901C-12510B111DAE}">
      <text>
        <r>
          <rPr>
            <b/>
            <sz val="9"/>
            <color indexed="81"/>
            <rFont val="Tahoma"/>
            <family val="2"/>
          </rPr>
          <t>Peet Kotzé:</t>
        </r>
        <r>
          <rPr>
            <sz val="9"/>
            <color indexed="81"/>
            <rFont val="Tahoma"/>
            <family val="2"/>
          </rPr>
          <t xml:space="preserve">
2017 - R 675 300
2018 - +15% (MPS)
2019 - + 12.5% (Ethiqal 10-15%)
2020 - + 12.5% (Ethiqal 10-15%)
2021 - + 7% (Estimate Market %)
2022 - + 5.8% (Same as funders)
</t>
        </r>
      </text>
    </comment>
  </commentList>
</comments>
</file>

<file path=xl/sharedStrings.xml><?xml version="1.0" encoding="utf-8"?>
<sst xmlns="http://schemas.openxmlformats.org/spreadsheetml/2006/main" count="317" uniqueCount="238">
  <si>
    <t>Code</t>
  </si>
  <si>
    <t>Terminology</t>
  </si>
  <si>
    <t>Average Duration Professional</t>
  </si>
  <si>
    <t>Consultations:</t>
  </si>
  <si>
    <t>Procedures:</t>
  </si>
  <si>
    <t>Newborn Attendance -Visit in Ward</t>
  </si>
  <si>
    <t>Hospital follow-up visit</t>
  </si>
  <si>
    <t>Drainage of subcutaneous abscess onychia, paronychia, pulp space or avulsion of nail</t>
  </si>
  <si>
    <t>Excision and repair by direct suture; excision nail fold or other minor procedures of similar magnitude</t>
  </si>
  <si>
    <t>Nebulisation (in rooms)</t>
  </si>
  <si>
    <t>Urine dipstick, per stick (irrespective of the number of tests on stick)</t>
  </si>
  <si>
    <t>Setting of sterile tray</t>
  </si>
  <si>
    <t>Removal of foreign body superficial to deep fascia (except hands)</t>
  </si>
  <si>
    <t>Stitching of soft-tissue injuries: Deep laceration involving limited muscle damage</t>
  </si>
  <si>
    <t>Stitching of soft-tissue injuries: Deep laceration involving extensive muscle damage</t>
  </si>
  <si>
    <t>Major debridement of wound, sloughectomy or secondary suture</t>
  </si>
  <si>
    <t>Each additional small procedure done at the same time</t>
  </si>
  <si>
    <t xml:space="preserve">Radical excision of nailbed                                 </t>
  </si>
  <si>
    <t>Excision: Small bursa or ganglion</t>
  </si>
  <si>
    <t>Removal of foreign bodies from nose: At rooms</t>
  </si>
  <si>
    <t xml:space="preserve">Tonsillectomy (dissection of the tonsils)                   </t>
  </si>
  <si>
    <t xml:space="preserve">Incision and drainage of peri-anal abscess                  </t>
  </si>
  <si>
    <t>Drainage of external thrombosed pile</t>
  </si>
  <si>
    <t>Percutaneous aspiration of bladder</t>
  </si>
  <si>
    <t>Bladder catheterisation: Male (not at operation)</t>
  </si>
  <si>
    <t xml:space="preserve">Circumcision: Surgical excision other than by clamp or dors </t>
  </si>
  <si>
    <t>Insertion of intra uterine contraceptive device (IUCD) (excluding after-care)</t>
  </si>
  <si>
    <t>Implantation hormone pellets (excluding after-care)</t>
  </si>
  <si>
    <t>Chest X-ray code 3601 included</t>
  </si>
  <si>
    <t>Haemoglobin estimation</t>
  </si>
  <si>
    <t>CHOL/HDL/LDL/TRIG</t>
  </si>
  <si>
    <t>Cholesterol Total</t>
  </si>
  <si>
    <t>Glucose strip-test with photometric reading</t>
  </si>
  <si>
    <t>Glucose tolerance test (4 specimens)</t>
  </si>
  <si>
    <t>Protein: Quantitative</t>
  </si>
  <si>
    <t xml:space="preserve">HCG: Latex agglutination: Qualitative (side room)           </t>
  </si>
  <si>
    <t>HCG: Monoclonal immunological: Quantitative</t>
  </si>
  <si>
    <t>Sputum, all body fluids and tumour aspirates: first unit</t>
  </si>
  <si>
    <t>Sputum, all body fluids and tumour aspirates: each additional unit</t>
  </si>
  <si>
    <t>Ultrasound soft tissue any region</t>
  </si>
  <si>
    <t>Prolonged first/follow-up consultation : for each 15-minute period only if service extends 10 minutes or more into the next 15-minute period following on the first 60 minutes</t>
  </si>
  <si>
    <t>Glucose: Quantitative</t>
  </si>
  <si>
    <t>Units</t>
  </si>
  <si>
    <t>R</t>
  </si>
  <si>
    <t>Disclaimer:</t>
  </si>
  <si>
    <t>See the Notes below for All Tariffs</t>
  </si>
  <si>
    <t>Note:</t>
  </si>
  <si>
    <t xml:space="preserve">The above schedule is based on information avaiable to HealthMan and HealthMan will NOT be held responsible for any losses incurred by practitioners resulting from the use of this schedule. </t>
  </si>
  <si>
    <t>DHGP 
RCF</t>
  </si>
  <si>
    <t>Legend:</t>
  </si>
  <si>
    <t>R = Rand</t>
  </si>
  <si>
    <t>RCF = Rand Conversion Factor (Rand Value per Unit)</t>
  </si>
  <si>
    <t>VAT = Value Added Tax</t>
  </si>
  <si>
    <t>Consulting Service, e.g. Repeat Script</t>
  </si>
  <si>
    <t>Writing of special motivations and treatment</t>
  </si>
  <si>
    <t>Elective after-hours services on request of patient or family (non-emergency). Add 50% of consultation fee</t>
  </si>
  <si>
    <t>After-hours bona fide emergency consultation. Add 25% of consultation fee. (21:00 to 06:00)</t>
  </si>
  <si>
    <t>Newborn Attendance - emergency at all hours</t>
  </si>
  <si>
    <t>Pre-anaesthetic assessment of patient:  between 10 and 20 minutes</t>
  </si>
  <si>
    <t>Pre-anaesthetic assessment of patient:  between 20 and 35 minutes</t>
  </si>
  <si>
    <t>Completion of Chronic Medication Forms on behalf of a 3rd party funder</t>
  </si>
  <si>
    <t>Intravenous treatment/infusion: cut down or push in for patients under 3 yrs</t>
  </si>
  <si>
    <t>Collection of blood specimen(s) by the medical doctor for pathology per venesection</t>
  </si>
  <si>
    <t>Subsequent benign lesion (each)</t>
  </si>
  <si>
    <t xml:space="preserve">Stitching of soft-tissue injuries: Stitching of wound: including normal aftercare </t>
  </si>
  <si>
    <t>Stitching of soft tissue injuries: Additional wounds stitched at same session</t>
  </si>
  <si>
    <t>Removal of foreign body: requiring incision: under local anaesthetic</t>
  </si>
  <si>
    <t>Peak Expiratory Flow only</t>
  </si>
  <si>
    <t>External ear canal: Removal of foreign body at rooms with use of microscope</t>
  </si>
  <si>
    <t>Routine obstetric ultrasound at 10- 20 weeks gestational age preferable at 10 to 14 weeks gestational age to include nuchal translucency assessment</t>
  </si>
  <si>
    <t>Routine obstetric ultrasound at 20 to 24 weeks to include detailed anatomical assessment</t>
  </si>
  <si>
    <t>DPA = Direct Payment Arrangement</t>
  </si>
  <si>
    <t>Prem = Premier</t>
  </si>
  <si>
    <t>0017</t>
  </si>
  <si>
    <t>Conults</t>
  </si>
  <si>
    <t>2614 (New)</t>
  </si>
  <si>
    <t>2615 (New)</t>
  </si>
  <si>
    <t>MPS (Obs Potrion)</t>
  </si>
  <si>
    <t>Ave Deliveies p/a</t>
  </si>
  <si>
    <t>Schem Units
2614</t>
  </si>
  <si>
    <t>Schem Units
2615</t>
  </si>
  <si>
    <t>SAMA Units 2614</t>
  </si>
  <si>
    <t>SAMA Units 2615</t>
  </si>
  <si>
    <t>Clin. Pro</t>
  </si>
  <si>
    <t>Radiology</t>
  </si>
  <si>
    <t>Clin. Path</t>
  </si>
  <si>
    <t>Ultra</t>
  </si>
  <si>
    <t>Anat. Cy</t>
  </si>
  <si>
    <t>Bankmed</t>
  </si>
  <si>
    <t>Bonitas</t>
  </si>
  <si>
    <t>Discovery</t>
  </si>
  <si>
    <t>FedHealth</t>
  </si>
  <si>
    <t>GEMS (non) - GP</t>
  </si>
  <si>
    <t>GEMS (non) - Paeds</t>
  </si>
  <si>
    <t>GEMS (non) - Gyn</t>
  </si>
  <si>
    <t>GEMS (Con) - GP</t>
  </si>
  <si>
    <t>GEMS (Con) - Paeds</t>
  </si>
  <si>
    <t>GEMS (Con) - Gyn</t>
  </si>
  <si>
    <t>GEMS (Con)
- 17 
-18
- 19
- 20
- 21
- 31</t>
  </si>
  <si>
    <t>GEMS</t>
  </si>
  <si>
    <t>KeyHealth</t>
  </si>
  <si>
    <t>Medihelp</t>
  </si>
  <si>
    <t>ProfMed</t>
  </si>
  <si>
    <t>HealthMan - Specialists</t>
  </si>
  <si>
    <t>HealthMan - Psychiatry</t>
  </si>
  <si>
    <t>HealthMan - GP</t>
  </si>
  <si>
    <t>COMPARATIVE TARIFFS</t>
  </si>
  <si>
    <t>HealthMan</t>
  </si>
  <si>
    <t>RCF</t>
  </si>
  <si>
    <t>BankMed</t>
  </si>
  <si>
    <t>POLMED</t>
  </si>
  <si>
    <t>BestMed</t>
  </si>
  <si>
    <t>Base 
Rate</t>
  </si>
  <si>
    <t xml:space="preserve"> DHGP Network</t>
  </si>
  <si>
    <t>Non-Contracted
RCF</t>
  </si>
  <si>
    <t>Contracted Base Rate</t>
  </si>
  <si>
    <t>Contracted
RCF</t>
  </si>
  <si>
    <t>GP Consults</t>
  </si>
  <si>
    <t>Discovery - GP Network</t>
  </si>
  <si>
    <t xml:space="preserve">1. Codes, Descriptors and Unit Values have been extracted from the SAMA Electronic Medical Doctors Coding Manual (eMDCM) previously known as the SAMA Doctors Billing Manual (DBM).  </t>
  </si>
  <si>
    <t>7. The Healthman tariff for codes that relate to equipment have been retained at Profmed rate*</t>
  </si>
  <si>
    <t>Unique 
ICU RCF</t>
  </si>
  <si>
    <t>Bonitas - Network</t>
  </si>
  <si>
    <t>BestMed Network</t>
  </si>
  <si>
    <t>Bonitas - non Network</t>
  </si>
  <si>
    <t>Discovery ICU - Non Network</t>
  </si>
  <si>
    <t>Discovery ICU - Network</t>
  </si>
  <si>
    <t>Code/Scheme</t>
  </si>
  <si>
    <t>Units --&gt;</t>
  </si>
  <si>
    <t>8.9 (GP) /13.4 (S)</t>
  </si>
  <si>
    <t xml:space="preserve">GEMS (non)
- Physician Fraternity
   - 17, 18, 19, 20, 21, 31
- Surgical Fraternity
  - 24, 26, 28, 30, 36, 42, 44, 46, 114  
</t>
  </si>
  <si>
    <t xml:space="preserve">GEMS (Con) - Surgeons
- Surgical Fraternity
  - 24, 26, 28, 30, 36, 42, 44, 46, 114 </t>
  </si>
  <si>
    <t>Emergency department visit for the evaluation and management of a patient, which requires these 3 key components: (a) expanded problem focused history (b) expanded problem focused examination (c) medical decision making of low complexity. Counselling and/or co-ordination of care with other providers or agencies are provided consistent with the nature of the problem(s) and the patient's and/or family's needs. Usually, the presenting problem(s) are of low or moderate severity</t>
  </si>
  <si>
    <t>Emergency department visit for the evaluation and management of a patient, which requires these 3 key components: (a) expanded problem focused history (b) expanded problem focused examination (c) medical decision making of moderate complexity. Counselling and/or co-ordination of care with other providers or agencies are provided consistent with the nature of the problem(s) and the patient's and/or family's needs. Usually, the presenting problem(s) are of moderate severity</t>
  </si>
  <si>
    <t>Emergency department visit for the evaluation and management of a patient, which requires these 3 key components: (a) a detailed history; (b) a detailed examination (c) medical decision making of moderate complexity. Counselling and/or co-ordination of care with other providers or agencies are provided consistent with the nature of the problem(s) and the patient's and/or family's needs. Usually, the presenting problem(s) are of high severity, and require urgent evaluation by the medical practitioner but do not pose an immediate significant threat to life or physiologic function</t>
  </si>
  <si>
    <t>Emergency department visit for the evaluation and management of a patient, which requires these 3 key components within the constraints imposed by the urgency of the patient's clinical condition and mental status: (a) comprehensive history (b) comprehensive examination (c) medical decision making of high complexity. Counselling and/or co-ordination of care with other providers or agencies are provided consistent with the nature of the problem(s) and the patient's and/or family's needs. Usually, the presenting problem(s) are of high severity and pose an immediate significant threat to life or physiologic function</t>
  </si>
  <si>
    <t xml:space="preserve">Unscheduled consultation (cons.room) </t>
  </si>
  <si>
    <t>Consultation : Away from doctor's room</t>
  </si>
  <si>
    <t xml:space="preserve">Emergency consultation (cons.room) </t>
  </si>
  <si>
    <t>Emergency consultation (not cons.room)</t>
  </si>
  <si>
    <t>Polmed Network</t>
  </si>
  <si>
    <t>Polmed Non Network</t>
  </si>
  <si>
    <t>Non Network Base 
Rate</t>
  </si>
  <si>
    <t>Network Base 
Rate</t>
  </si>
  <si>
    <r>
      <t xml:space="preserve">Telephone consultation (all hours) </t>
    </r>
    <r>
      <rPr>
        <i/>
        <sz val="10"/>
        <color rgb="FFFF0000"/>
        <rFont val="Calibri"/>
        <family val="2"/>
        <scheme val="minor"/>
      </rPr>
      <t>(Refer to rules and interpretation)</t>
    </r>
  </si>
  <si>
    <r>
      <t xml:space="preserve">First Hospital Consultation </t>
    </r>
    <r>
      <rPr>
        <i/>
        <sz val="10"/>
        <rFont val="Calibri"/>
        <family val="2"/>
        <scheme val="minor"/>
      </rPr>
      <t>(of an average duration and/or complexity)</t>
    </r>
  </si>
  <si>
    <r>
      <t xml:space="preserve">First Hospital Consultation </t>
    </r>
    <r>
      <rPr>
        <i/>
        <sz val="10"/>
        <rFont val="Calibri"/>
        <family val="2"/>
        <scheme val="minor"/>
      </rPr>
      <t>(of a moderately above average duration and/or complexity)</t>
    </r>
  </si>
  <si>
    <r>
      <t xml:space="preserve">First Hospital Consultation </t>
    </r>
    <r>
      <rPr>
        <i/>
        <sz val="10"/>
        <rFont val="Calibri"/>
        <family val="2"/>
        <scheme val="minor"/>
      </rPr>
      <t>(of long duration and/or high complexity)</t>
    </r>
  </si>
  <si>
    <r>
      <t xml:space="preserve">Consultation of new or established patient </t>
    </r>
    <r>
      <rPr>
        <i/>
        <sz val="10"/>
        <rFont val="Calibri"/>
        <family val="2"/>
        <scheme val="minor"/>
      </rPr>
      <t>(of an average duration and/or complexity)</t>
    </r>
  </si>
  <si>
    <r>
      <t xml:space="preserve">Consultation of new or established patient  </t>
    </r>
    <r>
      <rPr>
        <i/>
        <sz val="10"/>
        <rFont val="Calibri"/>
        <family val="2"/>
        <scheme val="minor"/>
      </rPr>
      <t>(of a moderately above average duration and/or complexity)</t>
    </r>
  </si>
  <si>
    <r>
      <t xml:space="preserve">Consultation of new or established patient  </t>
    </r>
    <r>
      <rPr>
        <i/>
        <sz val="10"/>
        <rFont val="Calibri"/>
        <family val="2"/>
        <scheme val="minor"/>
      </rPr>
      <t>(of long duration and/or high complexity)</t>
    </r>
  </si>
  <si>
    <r>
      <t xml:space="preserve">Consultation of new or established patient  </t>
    </r>
    <r>
      <rPr>
        <i/>
        <sz val="10"/>
        <color rgb="FF7030A0"/>
        <rFont val="Calibri"/>
        <family val="2"/>
        <scheme val="minor"/>
      </rPr>
      <t>(of long duration and/or high complexity)</t>
    </r>
  </si>
  <si>
    <r>
      <t>Subsequent Injections as part of a planned series of injections for the same condition, administered by practitioners</t>
    </r>
    <r>
      <rPr>
        <b/>
        <i/>
        <sz val="10"/>
        <rFont val="Calibri"/>
        <family val="2"/>
        <scheme val="minor"/>
      </rPr>
      <t>:</t>
    </r>
    <r>
      <rPr>
        <i/>
        <sz val="10"/>
        <rFont val="Calibri"/>
        <family val="2"/>
        <scheme val="minor"/>
      </rPr>
      <t>(not chargeable together with a consultation item)</t>
    </r>
  </si>
  <si>
    <r>
      <t xml:space="preserve">Intravenous treatment/infusion: chargeable once per 24 hours </t>
    </r>
    <r>
      <rPr>
        <i/>
        <sz val="10"/>
        <rFont val="Calibri"/>
        <family val="2"/>
        <scheme val="minor"/>
      </rPr>
      <t>(by medical doctor personally)</t>
    </r>
  </si>
  <si>
    <r>
      <t xml:space="preserve">Intravenous treatment/infusion: cut down for patients over 3 yrs </t>
    </r>
    <r>
      <rPr>
        <i/>
        <sz val="10"/>
        <rFont val="Calibri"/>
        <family val="2"/>
        <scheme val="minor"/>
      </rPr>
      <t>(by medical doctor personally)</t>
    </r>
  </si>
  <si>
    <r>
      <t xml:space="preserve">Venesection: Therapeutic venesection 
</t>
    </r>
    <r>
      <rPr>
        <i/>
        <sz val="10"/>
        <rFont val="Calibri"/>
        <family val="2"/>
        <scheme val="minor"/>
      </rPr>
      <t>(Not to be used when blood is drawn for the purpose of laboratory investigations)</t>
    </r>
  </si>
  <si>
    <r>
      <t xml:space="preserve">Intralesional injection into areas of pathology </t>
    </r>
    <r>
      <rPr>
        <sz val="10"/>
        <rFont val="Calibri"/>
        <family val="2"/>
        <scheme val="minor"/>
      </rPr>
      <t>e.g. Keloid: Single</t>
    </r>
  </si>
  <si>
    <r>
      <t xml:space="preserve">Special treatment of severe acne cases, </t>
    </r>
    <r>
      <rPr>
        <sz val="10"/>
        <rFont val="Calibri"/>
        <family val="2"/>
        <scheme val="minor"/>
      </rPr>
      <t>including draining of cysts, expressing of cleaning of Comedones and/or steaming, abrasive cleaning of skin and UVR per session</t>
    </r>
  </si>
  <si>
    <r>
      <t xml:space="preserve">Treatment of benign lesion/chemo-cryotherapy: </t>
    </r>
    <r>
      <rPr>
        <sz val="10"/>
        <rFont val="Calibri"/>
        <family val="2"/>
        <scheme val="minor"/>
      </rPr>
      <t>first lesion</t>
    </r>
  </si>
  <si>
    <r>
      <t xml:space="preserve">Treatment of benign lesion/chemo-cryotherapy: </t>
    </r>
    <r>
      <rPr>
        <sz val="10"/>
        <rFont val="Calibri"/>
        <family val="2"/>
        <scheme val="minor"/>
      </rPr>
      <t>Maximum for multiple additional lesions</t>
    </r>
  </si>
  <si>
    <r>
      <t>Removal of benign lesion by curretting under local or general anaesthesia followed by diathermy and curretting or electrocautery:</t>
    </r>
    <r>
      <rPr>
        <sz val="10"/>
        <rFont val="Calibri"/>
        <family val="2"/>
        <scheme val="minor"/>
      </rPr>
      <t xml:space="preserve"> First lesion</t>
    </r>
  </si>
  <si>
    <r>
      <t xml:space="preserve">Removal of benign lesion by curretting under local or general anaesthesia followed by diathermy and curretting or electrocautery: </t>
    </r>
    <r>
      <rPr>
        <sz val="10"/>
        <rFont val="Calibri"/>
        <family val="2"/>
        <scheme val="minor"/>
      </rPr>
      <t>Subsequent lesions (each)</t>
    </r>
  </si>
  <si>
    <r>
      <t xml:space="preserve">Removal of foreign body deep to deep fascia </t>
    </r>
    <r>
      <rPr>
        <i/>
        <sz val="10"/>
        <rFont val="Calibri"/>
        <family val="2"/>
        <scheme val="minor"/>
      </rPr>
      <t>(except hands)</t>
    </r>
  </si>
  <si>
    <r>
      <t xml:space="preserve">Fine needle aspiration for soft tissue </t>
    </r>
    <r>
      <rPr>
        <i/>
        <sz val="10"/>
        <rFont val="Calibri"/>
        <family val="2"/>
        <scheme val="minor"/>
      </rPr>
      <t>(all areas)</t>
    </r>
  </si>
  <si>
    <r>
      <t xml:space="preserve">Aspiration of joint or intra-articular injection. </t>
    </r>
    <r>
      <rPr>
        <i/>
        <sz val="10"/>
        <rFont val="Calibri"/>
        <family val="2"/>
        <scheme val="minor"/>
      </rPr>
      <t>(Excludes aftercare)</t>
    </r>
  </si>
  <si>
    <r>
      <t xml:space="preserve">Bursae and ganglia: Aspiration or injection </t>
    </r>
    <r>
      <rPr>
        <i/>
        <sz val="10"/>
        <rFont val="Calibri"/>
        <family val="2"/>
        <scheme val="minor"/>
      </rPr>
      <t>(no after-care) (modifier 0005 not applicable)</t>
    </r>
  </si>
  <si>
    <r>
      <t>Long leg cast (Femur to toes, humerus)</t>
    </r>
    <r>
      <rPr>
        <i/>
        <sz val="10"/>
        <rFont val="Calibri"/>
        <family val="2"/>
        <scheme val="minor"/>
      </rPr>
      <t xml:space="preserve"> (excluding after-care) (modifier 0005 not applicable)</t>
    </r>
  </si>
  <si>
    <r>
      <t>Flow volume test:</t>
    </r>
    <r>
      <rPr>
        <sz val="10"/>
        <rFont val="Calibri"/>
        <family val="2"/>
        <scheme val="minor"/>
      </rPr>
      <t xml:space="preserve"> Inspiration/expiration</t>
    </r>
  </si>
  <si>
    <r>
      <t xml:space="preserve">Flow volume test: </t>
    </r>
    <r>
      <rPr>
        <sz val="10"/>
        <rFont val="Calibri"/>
        <family val="2"/>
        <scheme val="minor"/>
      </rPr>
      <t>Inspiration/Experation/pre- and post bronchodilator (to be charged for only with first consultation - thereafter item 1186 applies)</t>
    </r>
  </si>
  <si>
    <r>
      <t xml:space="preserve">Effort electrocardiogram with the aid of a special bicycle ergometer, monitoring apparatus and availability of associated apparatus </t>
    </r>
    <r>
      <rPr>
        <i/>
        <sz val="10"/>
        <rFont val="Calibri"/>
        <family val="2"/>
        <scheme val="minor"/>
      </rPr>
      <t>(interpretation included)</t>
    </r>
  </si>
  <si>
    <r>
      <t xml:space="preserve">Multi-stage treadmill test </t>
    </r>
    <r>
      <rPr>
        <i/>
        <sz val="10"/>
        <rFont val="Calibri"/>
        <family val="2"/>
        <scheme val="minor"/>
      </rPr>
      <t>(interpretation included)</t>
    </r>
  </si>
  <si>
    <r>
      <t xml:space="preserve">All dental procedures </t>
    </r>
    <r>
      <rPr>
        <i/>
        <sz val="10"/>
        <rFont val="Calibri"/>
        <family val="2"/>
        <scheme val="minor"/>
      </rPr>
      <t>(Anasthesia Administered equals 4 units)</t>
    </r>
  </si>
  <si>
    <r>
      <t xml:space="preserve">Global obstetric care: </t>
    </r>
    <r>
      <rPr>
        <i/>
        <sz val="10"/>
        <rFont val="Calibri"/>
        <family val="2"/>
        <scheme val="minor"/>
      </rPr>
      <t>All inclusive fee that includes all modes of vaginal delivery (excluding Caesarean section) and obstetric care from the commencement of labour until after the post-partum visit (6 weeks visit)</t>
    </r>
  </si>
  <si>
    <r>
      <t xml:space="preserve">Global obstetric care: </t>
    </r>
    <r>
      <rPr>
        <i/>
        <sz val="10"/>
        <color theme="5" tint="-0.249977111117893"/>
        <rFont val="Calibri"/>
        <family val="2"/>
        <scheme val="minor"/>
      </rPr>
      <t>All inclusive fee that includes all modes of vaginal delivery (excluding Caesarean section) and obstetric care from the commencement of labour until after the post-partum visit (4 weeks visit) (includes malpractice insurance)</t>
    </r>
  </si>
  <si>
    <r>
      <t xml:space="preserve">Global obstetric care: </t>
    </r>
    <r>
      <rPr>
        <i/>
        <sz val="10"/>
        <rFont val="Calibri"/>
        <family val="2"/>
        <scheme val="minor"/>
      </rPr>
      <t>All inclusive fee for caesarean section and obstetric care from the commencement of labour until after the post-partum visit (6 weeks visit). See modifier 0011 for emergency caesarean section (all hours)</t>
    </r>
  </si>
  <si>
    <r>
      <t xml:space="preserve">Global obstetric care: </t>
    </r>
    <r>
      <rPr>
        <i/>
        <sz val="10"/>
        <color theme="5" tint="-0.249977111117893"/>
        <rFont val="Calibri"/>
        <family val="2"/>
        <scheme val="minor"/>
      </rPr>
      <t>All inclusive fee for caesarean section and obstetric care from the commencement of labour until after the post-partum visit (4 weeks visit). See modifier 0011 for emergency caesarean section (all hours) (includes malpractice insurance)</t>
    </r>
  </si>
  <si>
    <r>
      <t xml:space="preserve">Pelvic organs ultrasound transabdominal probe </t>
    </r>
    <r>
      <rPr>
        <i/>
        <sz val="10"/>
        <rFont val="Calibri"/>
        <family val="2"/>
        <scheme val="minor"/>
      </rPr>
      <t>(this is a gynaecological ultrasound examination and may not be used in pregnancy)</t>
    </r>
  </si>
  <si>
    <r>
      <t xml:space="preserve">Ultrasound examination includes whole abdomen and pelvic organs, where pelvic organs are clinically indicated </t>
    </r>
    <r>
      <rPr>
        <i/>
        <sz val="10"/>
        <rFont val="Calibri"/>
        <family val="2"/>
        <scheme val="minor"/>
      </rPr>
      <t>(including liver, gall bladder, spleen, pancreas, abdominal vascular anatomy, para-aortic area, renal tract, pelvic organs)</t>
    </r>
  </si>
  <si>
    <r>
      <t xml:space="preserve">Travelling: Normal hours: General practitioner: 18,00 clinical procedure units per hour or part thereof </t>
    </r>
    <r>
      <rPr>
        <i/>
        <sz val="10"/>
        <color rgb="FFFF0000"/>
        <rFont val="Calibri"/>
        <family val="2"/>
        <scheme val="minor"/>
      </rPr>
      <t>(Refer to Rule P of SAMA eMDCM)</t>
    </r>
  </si>
  <si>
    <r>
      <t xml:space="preserve">Pelvic organs ultrasound: </t>
    </r>
    <r>
      <rPr>
        <i/>
        <sz val="10"/>
        <rFont val="Calibri"/>
        <family val="2"/>
        <scheme val="minor"/>
      </rPr>
      <t>Transvaginal or trans rectal probe</t>
    </r>
  </si>
  <si>
    <t>2. Tariffs may differ due to rounding.</t>
  </si>
  <si>
    <t>3. The above codes are the most frequently used codes per discipline and is not an all-inclusive list of all the codes used.</t>
  </si>
  <si>
    <t>6. Other DPAs</t>
  </si>
  <si>
    <t>6.1 We wish to remind you that Bankmed now has one of two Specialist DPA's (Prestige A &amp; B) to choose from.</t>
  </si>
  <si>
    <t xml:space="preserve">6.2 For the Discovery Classic DPA OH consultation you may Bill above the network base rate as per our schedule’s rate.  </t>
  </si>
  <si>
    <t>6.3 Please note that Discovery ICU coding has separate RCFs  since 2017.</t>
  </si>
  <si>
    <t xml:space="preserve">6.4. In general payment arrangement rates have NOT been split between In-Hospital &amp; Out-Hospital, as both are published by schemes.  Use as appropriate for the procedure.  </t>
  </si>
  <si>
    <t>8. All Tariffs are inlcusive of VAT (15%)</t>
  </si>
  <si>
    <t>9. All Fees marked in "Green" have not been published by the particular Scheme, the tariffs were calculated based on the relvant RCF, e.g. Consulting RCF (please refer to the Disclaimer)</t>
  </si>
  <si>
    <t xml:space="preserve">10. The new and updated procedure codes were approved by the applicable Mangement Group, Society, SAPPF and SAMA in 2015.  We encourage practitioners to use it. </t>
  </si>
  <si>
    <t>11. Applicable to Governance Project Participants (only)</t>
  </si>
  <si>
    <t xml:space="preserve">        HealthMan, PsychMg and SASOP will communicate to the members as soon as they are being accepted and published by funders.</t>
  </si>
  <si>
    <t>Please refer to the Notes and Discllaimer on the Digital version of this document before use</t>
  </si>
  <si>
    <t>CAMAF</t>
  </si>
  <si>
    <t>Base Rate</t>
  </si>
  <si>
    <t>Non-Contracted Base Rate</t>
  </si>
  <si>
    <t>5. GEMS</t>
  </si>
  <si>
    <t xml:space="preserve">5.1 Please familiarise yourself with the changes in GEMS  </t>
  </si>
  <si>
    <t>5.2 GEMS implemented a differential increase between Network and Non-Network base rates</t>
  </si>
  <si>
    <t xml:space="preserve">6.5 Please note that Fedhealth has a Gynae Network rate for codes 2614 and 2615 at 165% for the lower options, instead of the usual scheme rate. </t>
  </si>
  <si>
    <t>13. The changes in Psychiatry coding effective 2021 has not yet been accepted by many Funders and should be coded as usual - except where communicated</t>
  </si>
  <si>
    <t xml:space="preserve">    Please note that many of the descriptors are shortened versions.  For the full descriptors please refer to the most recent SAMA eMDCM.</t>
  </si>
  <si>
    <t xml:space="preserve">12. Please note the most recent SAMA eMDCM is available at www.samedical.org  </t>
  </si>
  <si>
    <t>Muscle and tendon repair: Tendon or ligament injection</t>
  </si>
  <si>
    <t>Intensive care: Category 1: Cases requiring intensive monitoring: Per day</t>
  </si>
  <si>
    <t>Intensive care: Category 3: Cases with multiple organ failure or Category 2 patients ( multidisciplinary intervention): First day</t>
  </si>
  <si>
    <t>Intensive care: Category 3: Cases with multiple organ failure or Category 2 patients ( multidisciplinary intervention): Subsequent days</t>
  </si>
  <si>
    <t xml:space="preserve">Cardio-respiratory resuscitation: Prolonged attendance in cases of emergency </t>
  </si>
  <si>
    <t>Insertion of arterial pressure cannula</t>
  </si>
  <si>
    <t>Insertion of central venous line via subclavian or jugular veins</t>
  </si>
  <si>
    <t>Patient-controlled analgesic pump: Equipment hire: Per calendar day (Cassette to be coded for according to item 0201 per patient)</t>
  </si>
  <si>
    <t xml:space="preserve">Professional component for managing a patient-controlled analgesic pump: First calendar day </t>
  </si>
  <si>
    <t>Professional component for a physician interpreting an ECG: Without effort</t>
  </si>
  <si>
    <t>Electrocardiogram: Without effort (interpretation included)</t>
  </si>
  <si>
    <t>Electrocardiogram: With and without effort (Interpretation included)</t>
  </si>
  <si>
    <t>24-hour ambulatory blood pressure: Equipment hire</t>
  </si>
  <si>
    <t>Evacuation of uterus: Incomplete abortion: After 12 weeks gestation</t>
  </si>
  <si>
    <t xml:space="preserve">Procedures for pain relief: Intrathecal injections for pain </t>
  </si>
  <si>
    <t>Procedures for pain relief: Plexus nerve block</t>
  </si>
  <si>
    <t>Procedures for pain relief: Epidural injection for pain (refer to modifier 0045 for post-operative pain relief). For epidural anaesthetic refer to modifier 0021</t>
  </si>
  <si>
    <t>Cardiac examination: 2 Dimensional</t>
  </si>
  <si>
    <t>Cardiac examinations + doppler</t>
  </si>
  <si>
    <t>High definition (small parts) scan: Thyroid, breast lump, scrotum, etc.</t>
  </si>
  <si>
    <t>Plus (+) colour doppler (may be added onto any other regional exam, but not to be added to items 3605, 5110, 5111, 5112, 5113 or 5114)</t>
  </si>
  <si>
    <t>C-reactive protein</t>
  </si>
  <si>
    <t>Glycated haemoglobin: Chromatography/HbA1C</t>
  </si>
  <si>
    <t>Ultrasound of joints (e.g. shoulder, hip, knee), per joint</t>
  </si>
  <si>
    <t>HIV pre-test counselling</t>
  </si>
  <si>
    <t>HIV post-test counselling</t>
  </si>
  <si>
    <t>FedHealth - Network</t>
  </si>
  <si>
    <t>Bestmed  Non-network</t>
  </si>
  <si>
    <t>Upper Benchmark
Tariff</t>
  </si>
  <si>
    <t>HEALTHMAN GENERAL PRACTITIONERS COSTING GUIDE 2026</t>
  </si>
  <si>
    <t>GEMS (Con Phys)
- 17 
-18
- 19
- 20
- 21
- 31</t>
  </si>
  <si>
    <t>32.491</t>
  </si>
  <si>
    <t>36.425</t>
  </si>
  <si>
    <t xml:space="preserve">4. The HealthMan Rate increased by 4.7%(equal to our current assessment of medical inflation). </t>
  </si>
  <si>
    <t>5.3 The Network rate increased with 3.2% and 3.1% compared to the Non-Network rate that increased only 2.85%. 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</si>
</sst>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_-;\-* #,##0.00_-;_-* &quot;-&quot;??_-;_-@_-"/>
    <numFmt numFmtId="165" formatCode="_ * #,##0.00_ ;_ * \-#,##0.00_ ;_ * &quot;-&quot;??_ ;_ @_ "/>
    <numFmt numFmtId="166" formatCode="_ * #,##0.000_ ;_ * \-#,##0.000_ ;_ * &quot;-&quot;??_ ;_ @_ "/>
    <numFmt numFmtId="167" formatCode="_(* #,##0.000_);_(* \(#,##0.000\);_(* &quot;-&quot;??_);_(@_)"/>
    <numFmt numFmtId="168" formatCode="0000"/>
    <numFmt numFmtId="169" formatCode="_-* #,##0.000_-;\-* #,##0.000_-;_-* &quot;-&quot;???_-;_-@_-"/>
  </numFmts>
  <fonts count="5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u/>
      <sz val="10"/>
      <color indexed="10"/>
      <name val="Calibri"/>
      <family val="2"/>
      <scheme val="minor"/>
    </font>
    <font>
      <sz val="10"/>
      <color indexed="10"/>
      <name val="Calibri"/>
      <family val="2"/>
      <scheme val="minor"/>
    </font>
    <font>
      <sz val="9.5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sz val="10"/>
      <color rgb="FF0000FF"/>
      <name val="Calibri"/>
      <family val="2"/>
      <scheme val="minor"/>
    </font>
    <font>
      <i/>
      <sz val="10"/>
      <name val="Calibri"/>
      <family val="2"/>
      <scheme val="minor"/>
    </font>
    <font>
      <b/>
      <u/>
      <sz val="12"/>
      <name val="Calibri"/>
      <family val="2"/>
      <scheme val="minor"/>
    </font>
    <font>
      <i/>
      <sz val="10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7030A0"/>
      <name val="Calibri"/>
      <family val="2"/>
      <scheme val="minor"/>
    </font>
    <font>
      <sz val="10"/>
      <color rgb="FF7030A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rgb="FF00B05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i/>
      <sz val="10"/>
      <color rgb="FF7030A0"/>
      <name val="Calibri"/>
      <family val="2"/>
      <scheme val="minor"/>
    </font>
    <font>
      <b/>
      <u/>
      <sz val="10"/>
      <color indexed="8"/>
      <name val="Calibri"/>
      <family val="2"/>
      <scheme val="minor"/>
    </font>
    <font>
      <b/>
      <sz val="10"/>
      <color indexed="63"/>
      <name val="Calibri"/>
      <family val="2"/>
      <scheme val="minor"/>
    </font>
    <font>
      <b/>
      <u/>
      <sz val="10"/>
      <color indexed="6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color theme="5" tint="-0.249977111117893"/>
      <name val="Calibri"/>
      <family val="2"/>
      <scheme val="minor"/>
    </font>
    <font>
      <i/>
      <sz val="10"/>
      <color theme="5" tint="-0.249977111117893"/>
      <name val="Calibri"/>
      <family val="2"/>
      <scheme val="minor"/>
    </font>
    <font>
      <i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i/>
      <sz val="10"/>
      <color rgb="FFC00000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.5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u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0"/>
      <color rgb="FFC00000"/>
      <name val="Calibri"/>
      <family val="2"/>
    </font>
    <font>
      <b/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rgb="FF87CEFA"/>
      </left>
      <right style="thin">
        <color rgb="FF87CEFA"/>
      </right>
      <top/>
      <bottom style="thin">
        <color rgb="FF87CEFA"/>
      </bottom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99">
    <xf numFmtId="0" fontId="0" fillId="0" borderId="0" xfId="0"/>
    <xf numFmtId="0" fontId="4" fillId="2" borderId="0" xfId="0" applyFont="1" applyFill="1" applyProtection="1">
      <protection hidden="1"/>
    </xf>
    <xf numFmtId="165" fontId="4" fillId="2" borderId="0" xfId="1" applyFont="1" applyFill="1" applyBorder="1" applyProtection="1">
      <protection hidden="1"/>
    </xf>
    <xf numFmtId="166" fontId="4" fillId="2" borderId="0" xfId="1" applyNumberFormat="1" applyFont="1" applyFill="1" applyBorder="1" applyProtection="1">
      <protection hidden="1"/>
    </xf>
    <xf numFmtId="0" fontId="7" fillId="4" borderId="1" xfId="0" applyFont="1" applyFill="1" applyBorder="1" applyAlignment="1" applyProtection="1">
      <alignment horizontal="center"/>
      <protection hidden="1"/>
    </xf>
    <xf numFmtId="0" fontId="7" fillId="2" borderId="4" xfId="0" applyFont="1" applyFill="1" applyBorder="1" applyAlignment="1" applyProtection="1">
      <alignment horizontal="center" wrapText="1"/>
      <protection hidden="1"/>
    </xf>
    <xf numFmtId="0" fontId="7" fillId="4" borderId="1" xfId="1" applyNumberFormat="1" applyFont="1" applyFill="1" applyBorder="1" applyAlignment="1" applyProtection="1">
      <alignment horizontal="center" wrapText="1"/>
      <protection hidden="1"/>
    </xf>
    <xf numFmtId="165" fontId="7" fillId="4" borderId="1" xfId="1" applyFont="1" applyFill="1" applyBorder="1" applyAlignment="1" applyProtection="1">
      <alignment horizontal="center" wrapText="1"/>
      <protection hidden="1"/>
    </xf>
    <xf numFmtId="166" fontId="7" fillId="4" borderId="1" xfId="1" applyNumberFormat="1" applyFont="1" applyFill="1" applyBorder="1" applyAlignment="1" applyProtection="1">
      <alignment horizontal="center" wrapText="1"/>
      <protection hidden="1"/>
    </xf>
    <xf numFmtId="0" fontId="7" fillId="2" borderId="5" xfId="0" applyFont="1" applyFill="1" applyBorder="1" applyAlignment="1" applyProtection="1">
      <alignment horizontal="center"/>
      <protection hidden="1"/>
    </xf>
    <xf numFmtId="0" fontId="7" fillId="2" borderId="6" xfId="0" applyFont="1" applyFill="1" applyBorder="1" applyAlignment="1" applyProtection="1">
      <alignment horizontal="center" wrapText="1"/>
      <protection hidden="1"/>
    </xf>
    <xf numFmtId="0" fontId="7" fillId="5" borderId="1" xfId="0" applyFont="1" applyFill="1" applyBorder="1" applyAlignment="1" applyProtection="1">
      <alignment horizontal="center" wrapText="1"/>
      <protection hidden="1"/>
    </xf>
    <xf numFmtId="165" fontId="7" fillId="5" borderId="1" xfId="1" applyFont="1" applyFill="1" applyBorder="1" applyAlignment="1" applyProtection="1">
      <alignment horizontal="center" wrapText="1"/>
      <protection hidden="1"/>
    </xf>
    <xf numFmtId="166" fontId="7" fillId="5" borderId="1" xfId="1" applyNumberFormat="1" applyFont="1" applyFill="1" applyBorder="1" applyAlignment="1" applyProtection="1">
      <alignment wrapText="1"/>
      <protection hidden="1"/>
    </xf>
    <xf numFmtId="166" fontId="7" fillId="5" borderId="1" xfId="1" applyNumberFormat="1" applyFont="1" applyFill="1" applyBorder="1" applyAlignment="1" applyProtection="1">
      <alignment horizontal="center" wrapText="1"/>
      <protection hidden="1"/>
    </xf>
    <xf numFmtId="0" fontId="7" fillId="2" borderId="9" xfId="0" applyFont="1" applyFill="1" applyBorder="1" applyAlignment="1" applyProtection="1">
      <alignment horizontal="center"/>
      <protection hidden="1"/>
    </xf>
    <xf numFmtId="0" fontId="8" fillId="4" borderId="1" xfId="0" applyFont="1" applyFill="1" applyBorder="1" applyAlignment="1" applyProtection="1">
      <alignment horizontal="center" wrapText="1"/>
      <protection hidden="1"/>
    </xf>
    <xf numFmtId="0" fontId="7" fillId="3" borderId="2" xfId="0" applyFont="1" applyFill="1" applyBorder="1" applyAlignment="1" applyProtection="1">
      <alignment horizontal="center"/>
      <protection hidden="1"/>
    </xf>
    <xf numFmtId="0" fontId="6" fillId="3" borderId="3" xfId="0" applyFont="1" applyFill="1" applyBorder="1" applyAlignment="1" applyProtection="1">
      <alignment horizontal="left" wrapText="1"/>
      <protection hidden="1"/>
    </xf>
    <xf numFmtId="0" fontId="4" fillId="3" borderId="3" xfId="0" applyFont="1" applyFill="1" applyBorder="1" applyProtection="1">
      <protection hidden="1"/>
    </xf>
    <xf numFmtId="165" fontId="4" fillId="3" borderId="3" xfId="1" applyFont="1" applyFill="1" applyBorder="1" applyProtection="1">
      <protection hidden="1"/>
    </xf>
    <xf numFmtId="166" fontId="4" fillId="3" borderId="3" xfId="1" applyNumberFormat="1" applyFont="1" applyFill="1" applyBorder="1" applyProtection="1">
      <protection hidden="1"/>
    </xf>
    <xf numFmtId="165" fontId="7" fillId="3" borderId="3" xfId="1" applyFont="1" applyFill="1" applyBorder="1" applyProtection="1">
      <protection hidden="1"/>
    </xf>
    <xf numFmtId="166" fontId="4" fillId="3" borderId="4" xfId="1" applyNumberFormat="1" applyFont="1" applyFill="1" applyBorder="1" applyProtection="1">
      <protection hidden="1"/>
    </xf>
    <xf numFmtId="49" fontId="7" fillId="2" borderId="12" xfId="0" applyNumberFormat="1" applyFont="1" applyFill="1" applyBorder="1" applyAlignment="1" applyProtection="1">
      <alignment horizontal="center"/>
      <protection hidden="1"/>
    </xf>
    <xf numFmtId="0" fontId="6" fillId="2" borderId="21" xfId="0" applyFont="1" applyFill="1" applyBorder="1" applyAlignment="1" applyProtection="1">
      <alignment horizontal="left" wrapText="1"/>
      <protection hidden="1"/>
    </xf>
    <xf numFmtId="0" fontId="4" fillId="2" borderId="22" xfId="0" applyFont="1" applyFill="1" applyBorder="1" applyProtection="1">
      <protection hidden="1"/>
    </xf>
    <xf numFmtId="165" fontId="4" fillId="2" borderId="22" xfId="1" applyFont="1" applyFill="1" applyBorder="1" applyProtection="1">
      <protection hidden="1"/>
    </xf>
    <xf numFmtId="166" fontId="4" fillId="2" borderId="22" xfId="1" applyNumberFormat="1" applyFont="1" applyFill="1" applyBorder="1" applyProtection="1">
      <protection hidden="1"/>
    </xf>
    <xf numFmtId="165" fontId="7" fillId="2" borderId="22" xfId="1" applyFont="1" applyFill="1" applyBorder="1" applyProtection="1">
      <protection hidden="1"/>
    </xf>
    <xf numFmtId="49" fontId="9" fillId="2" borderId="8" xfId="0" applyNumberFormat="1" applyFont="1" applyFill="1" applyBorder="1" applyAlignment="1" applyProtection="1">
      <alignment horizontal="center"/>
      <protection hidden="1"/>
    </xf>
    <xf numFmtId="0" fontId="10" fillId="2" borderId="7" xfId="0" applyFont="1" applyFill="1" applyBorder="1" applyAlignment="1" applyProtection="1">
      <alignment horizontal="left" wrapText="1"/>
      <protection hidden="1"/>
    </xf>
    <xf numFmtId="0" fontId="11" fillId="2" borderId="23" xfId="0" applyFont="1" applyFill="1" applyBorder="1" applyProtection="1">
      <protection hidden="1"/>
    </xf>
    <xf numFmtId="165" fontId="11" fillId="2" borderId="23" xfId="1" applyFont="1" applyFill="1" applyBorder="1" applyProtection="1">
      <protection hidden="1"/>
    </xf>
    <xf numFmtId="165" fontId="9" fillId="2" borderId="23" xfId="1" applyFont="1" applyFill="1" applyBorder="1" applyProtection="1">
      <protection hidden="1"/>
    </xf>
    <xf numFmtId="166" fontId="11" fillId="2" borderId="23" xfId="1" applyNumberFormat="1" applyFont="1" applyFill="1" applyBorder="1" applyProtection="1">
      <protection hidden="1"/>
    </xf>
    <xf numFmtId="166" fontId="7" fillId="2" borderId="23" xfId="1" applyNumberFormat="1" applyFont="1" applyFill="1" applyBorder="1" applyProtection="1">
      <protection hidden="1"/>
    </xf>
    <xf numFmtId="165" fontId="7" fillId="2" borderId="24" xfId="1" applyFont="1" applyFill="1" applyBorder="1" applyProtection="1">
      <protection hidden="1"/>
    </xf>
    <xf numFmtId="166" fontId="7" fillId="2" borderId="24" xfId="1" applyNumberFormat="1" applyFont="1" applyFill="1" applyBorder="1" applyProtection="1">
      <protection hidden="1"/>
    </xf>
    <xf numFmtId="0" fontId="7" fillId="2" borderId="0" xfId="0" applyFont="1" applyFill="1" applyProtection="1">
      <protection hidden="1"/>
    </xf>
    <xf numFmtId="166" fontId="7" fillId="2" borderId="22" xfId="1" applyNumberFormat="1" applyFont="1" applyFill="1" applyBorder="1" applyProtection="1">
      <protection hidden="1"/>
    </xf>
    <xf numFmtId="49" fontId="12" fillId="2" borderId="13" xfId="0" applyNumberFormat="1" applyFont="1" applyFill="1" applyBorder="1" applyProtection="1">
      <protection hidden="1"/>
    </xf>
    <xf numFmtId="0" fontId="12" fillId="2" borderId="14" xfId="0" applyFont="1" applyFill="1" applyBorder="1" applyAlignment="1" applyProtection="1">
      <alignment wrapText="1"/>
      <protection hidden="1"/>
    </xf>
    <xf numFmtId="0" fontId="12" fillId="2" borderId="25" xfId="0" applyFont="1" applyFill="1" applyBorder="1" applyProtection="1">
      <protection hidden="1"/>
    </xf>
    <xf numFmtId="165" fontId="12" fillId="2" borderId="25" xfId="1" applyFont="1" applyFill="1" applyBorder="1" applyProtection="1">
      <protection hidden="1"/>
    </xf>
    <xf numFmtId="166" fontId="12" fillId="2" borderId="25" xfId="1" applyNumberFormat="1" applyFont="1" applyFill="1" applyBorder="1" applyProtection="1">
      <protection hidden="1"/>
    </xf>
    <xf numFmtId="165" fontId="7" fillId="2" borderId="25" xfId="1" applyFont="1" applyFill="1" applyBorder="1" applyProtection="1">
      <protection hidden="1"/>
    </xf>
    <xf numFmtId="166" fontId="7" fillId="2" borderId="25" xfId="1" applyNumberFormat="1" applyFont="1" applyFill="1" applyBorder="1" applyProtection="1">
      <protection hidden="1"/>
    </xf>
    <xf numFmtId="0" fontId="4" fillId="2" borderId="17" xfId="0" applyFont="1" applyFill="1" applyBorder="1" applyAlignment="1" applyProtection="1">
      <alignment wrapText="1"/>
      <protection hidden="1"/>
    </xf>
    <xf numFmtId="0" fontId="4" fillId="2" borderId="17" xfId="1" applyNumberFormat="1" applyFont="1" applyFill="1" applyBorder="1" applyAlignment="1" applyProtection="1">
      <alignment wrapText="1"/>
      <protection hidden="1"/>
    </xf>
    <xf numFmtId="165" fontId="4" fillId="2" borderId="17" xfId="1" applyFont="1" applyFill="1" applyBorder="1" applyAlignment="1" applyProtection="1">
      <alignment wrapText="1"/>
      <protection hidden="1"/>
    </xf>
    <xf numFmtId="166" fontId="4" fillId="2" borderId="17" xfId="1" applyNumberFormat="1" applyFont="1" applyFill="1" applyBorder="1" applyAlignment="1" applyProtection="1">
      <alignment wrapText="1"/>
      <protection hidden="1"/>
    </xf>
    <xf numFmtId="166" fontId="4" fillId="2" borderId="6" xfId="1" applyNumberFormat="1" applyFont="1" applyFill="1" applyBorder="1" applyAlignment="1" applyProtection="1">
      <alignment wrapText="1"/>
      <protection hidden="1"/>
    </xf>
    <xf numFmtId="0" fontId="4" fillId="2" borderId="0" xfId="0" applyFont="1" applyFill="1" applyAlignment="1" applyProtection="1">
      <alignment wrapText="1"/>
      <protection hidden="1"/>
    </xf>
    <xf numFmtId="165" fontId="4" fillId="2" borderId="0" xfId="1" applyFont="1" applyFill="1" applyBorder="1" applyAlignment="1" applyProtection="1">
      <alignment wrapText="1"/>
      <protection hidden="1"/>
    </xf>
    <xf numFmtId="166" fontId="4" fillId="2" borderId="0" xfId="1" applyNumberFormat="1" applyFont="1" applyFill="1" applyBorder="1" applyAlignment="1" applyProtection="1">
      <alignment wrapText="1"/>
      <protection hidden="1"/>
    </xf>
    <xf numFmtId="166" fontId="4" fillId="2" borderId="10" xfId="1" applyNumberFormat="1" applyFont="1" applyFill="1" applyBorder="1" applyAlignment="1" applyProtection="1">
      <alignment wrapText="1"/>
      <protection hidden="1"/>
    </xf>
    <xf numFmtId="0" fontId="15" fillId="2" borderId="0" xfId="0" applyFont="1" applyFill="1" applyAlignment="1" applyProtection="1">
      <alignment wrapText="1"/>
      <protection hidden="1"/>
    </xf>
    <xf numFmtId="0" fontId="14" fillId="2" borderId="0" xfId="0" applyFont="1" applyFill="1" applyProtection="1">
      <protection hidden="1"/>
    </xf>
    <xf numFmtId="0" fontId="14" fillId="2" borderId="0" xfId="0" applyFont="1" applyFill="1" applyAlignment="1" applyProtection="1">
      <alignment wrapText="1"/>
      <protection hidden="1"/>
    </xf>
    <xf numFmtId="165" fontId="14" fillId="2" borderId="0" xfId="1" applyFont="1" applyFill="1" applyBorder="1" applyAlignment="1" applyProtection="1">
      <alignment wrapText="1"/>
      <protection hidden="1"/>
    </xf>
    <xf numFmtId="166" fontId="14" fillId="2" borderId="0" xfId="1" applyNumberFormat="1" applyFont="1" applyFill="1" applyBorder="1" applyAlignment="1" applyProtection="1">
      <alignment wrapText="1"/>
      <protection hidden="1"/>
    </xf>
    <xf numFmtId="166" fontId="14" fillId="2" borderId="10" xfId="1" applyNumberFormat="1" applyFont="1" applyFill="1" applyBorder="1" applyAlignment="1" applyProtection="1">
      <alignment wrapText="1"/>
      <protection hidden="1"/>
    </xf>
    <xf numFmtId="0" fontId="8" fillId="4" borderId="5" xfId="0" applyFont="1" applyFill="1" applyBorder="1" applyProtection="1">
      <protection hidden="1"/>
    </xf>
    <xf numFmtId="0" fontId="4" fillId="4" borderId="17" xfId="0" applyFont="1" applyFill="1" applyBorder="1" applyAlignment="1" applyProtection="1">
      <alignment wrapText="1"/>
      <protection hidden="1"/>
    </xf>
    <xf numFmtId="0" fontId="4" fillId="4" borderId="17" xfId="1" applyNumberFormat="1" applyFont="1" applyFill="1" applyBorder="1" applyAlignment="1" applyProtection="1">
      <alignment wrapText="1"/>
      <protection hidden="1"/>
    </xf>
    <xf numFmtId="165" fontId="4" fillId="4" borderId="17" xfId="1" applyFont="1" applyFill="1" applyBorder="1" applyAlignment="1" applyProtection="1">
      <alignment wrapText="1"/>
      <protection hidden="1"/>
    </xf>
    <xf numFmtId="166" fontId="4" fillId="4" borderId="17" xfId="1" applyNumberFormat="1" applyFont="1" applyFill="1" applyBorder="1" applyAlignment="1" applyProtection="1">
      <alignment wrapText="1"/>
      <protection hidden="1"/>
    </xf>
    <xf numFmtId="166" fontId="4" fillId="4" borderId="6" xfId="1" applyNumberFormat="1" applyFont="1" applyFill="1" applyBorder="1" applyAlignment="1" applyProtection="1">
      <alignment wrapText="1"/>
      <protection hidden="1"/>
    </xf>
    <xf numFmtId="0" fontId="15" fillId="4" borderId="9" xfId="0" applyFont="1" applyFill="1" applyBorder="1" applyProtection="1">
      <protection hidden="1"/>
    </xf>
    <xf numFmtId="0" fontId="15" fillId="4" borderId="0" xfId="0" applyFont="1" applyFill="1" applyAlignment="1" applyProtection="1">
      <alignment wrapText="1"/>
      <protection hidden="1"/>
    </xf>
    <xf numFmtId="0" fontId="15" fillId="4" borderId="10" xfId="0" applyFont="1" applyFill="1" applyBorder="1" applyAlignment="1" applyProtection="1">
      <alignment wrapText="1"/>
      <protection hidden="1"/>
    </xf>
    <xf numFmtId="0" fontId="4" fillId="4" borderId="19" xfId="0" applyFont="1" applyFill="1" applyBorder="1" applyProtection="1">
      <protection hidden="1"/>
    </xf>
    <xf numFmtId="0" fontId="4" fillId="4" borderId="18" xfId="0" applyFont="1" applyFill="1" applyBorder="1" applyAlignment="1" applyProtection="1">
      <alignment wrapText="1"/>
      <protection hidden="1"/>
    </xf>
    <xf numFmtId="0" fontId="4" fillId="4" borderId="18" xfId="1" applyNumberFormat="1" applyFont="1" applyFill="1" applyBorder="1" applyAlignment="1" applyProtection="1">
      <alignment wrapText="1"/>
      <protection hidden="1"/>
    </xf>
    <xf numFmtId="165" fontId="4" fillId="4" borderId="18" xfId="1" applyFont="1" applyFill="1" applyBorder="1" applyAlignment="1" applyProtection="1">
      <alignment wrapText="1"/>
      <protection hidden="1"/>
    </xf>
    <xf numFmtId="166" fontId="4" fillId="4" borderId="18" xfId="1" applyNumberFormat="1" applyFont="1" applyFill="1" applyBorder="1" applyAlignment="1" applyProtection="1">
      <alignment wrapText="1"/>
      <protection hidden="1"/>
    </xf>
    <xf numFmtId="166" fontId="4" fillId="4" borderId="20" xfId="1" applyNumberFormat="1" applyFont="1" applyFill="1" applyBorder="1" applyAlignment="1" applyProtection="1">
      <alignment wrapText="1"/>
      <protection hidden="1"/>
    </xf>
    <xf numFmtId="49" fontId="4" fillId="2" borderId="0" xfId="0" applyNumberFormat="1" applyFont="1" applyFill="1" applyProtection="1">
      <protection hidden="1"/>
    </xf>
    <xf numFmtId="0" fontId="16" fillId="3" borderId="2" xfId="0" applyFont="1" applyFill="1" applyBorder="1" applyProtection="1">
      <protection hidden="1"/>
    </xf>
    <xf numFmtId="0" fontId="16" fillId="3" borderId="3" xfId="0" applyFont="1" applyFill="1" applyBorder="1" applyProtection="1">
      <protection hidden="1"/>
    </xf>
    <xf numFmtId="166" fontId="7" fillId="0" borderId="23" xfId="1" applyNumberFormat="1" applyFont="1" applyFill="1" applyBorder="1" applyProtection="1">
      <protection hidden="1"/>
    </xf>
    <xf numFmtId="165" fontId="8" fillId="4" borderId="1" xfId="1" applyFont="1" applyFill="1" applyBorder="1" applyAlignment="1" applyProtection="1">
      <alignment horizontal="center" wrapText="1"/>
      <protection hidden="1"/>
    </xf>
    <xf numFmtId="165" fontId="15" fillId="4" borderId="0" xfId="1" applyFont="1" applyFill="1" applyBorder="1" applyAlignment="1" applyProtection="1">
      <alignment wrapText="1"/>
      <protection hidden="1"/>
    </xf>
    <xf numFmtId="0" fontId="3" fillId="3" borderId="2" xfId="0" applyFont="1" applyFill="1" applyBorder="1" applyProtection="1">
      <protection locked="0" hidden="1"/>
    </xf>
    <xf numFmtId="0" fontId="3" fillId="3" borderId="3" xfId="0" applyFont="1" applyFill="1" applyBorder="1" applyProtection="1">
      <protection locked="0" hidden="1"/>
    </xf>
    <xf numFmtId="0" fontId="3" fillId="3" borderId="4" xfId="0" applyFont="1" applyFill="1" applyBorder="1" applyProtection="1">
      <protection locked="0" hidden="1"/>
    </xf>
    <xf numFmtId="165" fontId="7" fillId="2" borderId="23" xfId="1" applyFont="1" applyFill="1" applyBorder="1" applyProtection="1">
      <protection hidden="1"/>
    </xf>
    <xf numFmtId="165" fontId="3" fillId="3" borderId="3" xfId="1" applyFont="1" applyFill="1" applyBorder="1" applyAlignment="1" applyProtection="1">
      <protection locked="0" hidden="1"/>
    </xf>
    <xf numFmtId="0" fontId="19" fillId="2" borderId="0" xfId="0" applyFont="1" applyFill="1" applyProtection="1">
      <protection hidden="1"/>
    </xf>
    <xf numFmtId="0" fontId="15" fillId="2" borderId="0" xfId="0" applyFont="1" applyFill="1" applyProtection="1">
      <protection hidden="1"/>
    </xf>
    <xf numFmtId="0" fontId="15" fillId="2" borderId="0" xfId="0" applyFont="1" applyFill="1" applyAlignment="1" applyProtection="1">
      <alignment horizontal="left" wrapText="1"/>
      <protection hidden="1"/>
    </xf>
    <xf numFmtId="0" fontId="15" fillId="2" borderId="9" xfId="0" applyFont="1" applyFill="1" applyBorder="1" applyAlignment="1" applyProtection="1">
      <alignment horizontal="left"/>
      <protection hidden="1"/>
    </xf>
    <xf numFmtId="0" fontId="4" fillId="2" borderId="19" xfId="0" applyFont="1" applyFill="1" applyBorder="1" applyProtection="1">
      <protection hidden="1"/>
    </xf>
    <xf numFmtId="0" fontId="5" fillId="2" borderId="18" xfId="0" applyFont="1" applyFill="1" applyBorder="1" applyAlignment="1" applyProtection="1">
      <alignment wrapText="1"/>
      <protection hidden="1"/>
    </xf>
    <xf numFmtId="165" fontId="5" fillId="2" borderId="18" xfId="1" applyFont="1" applyFill="1" applyBorder="1" applyProtection="1">
      <protection hidden="1"/>
    </xf>
    <xf numFmtId="165" fontId="4" fillId="2" borderId="18" xfId="1" applyFont="1" applyFill="1" applyBorder="1" applyProtection="1">
      <protection hidden="1"/>
    </xf>
    <xf numFmtId="166" fontId="4" fillId="2" borderId="18" xfId="1" applyNumberFormat="1" applyFont="1" applyFill="1" applyBorder="1" applyProtection="1">
      <protection hidden="1"/>
    </xf>
    <xf numFmtId="166" fontId="4" fillId="2" borderId="20" xfId="1" applyNumberFormat="1" applyFont="1" applyFill="1" applyBorder="1" applyProtection="1">
      <protection hidden="1"/>
    </xf>
    <xf numFmtId="0" fontId="18" fillId="6" borderId="1" xfId="0" applyFont="1" applyFill="1" applyBorder="1" applyProtection="1">
      <protection hidden="1"/>
    </xf>
    <xf numFmtId="0" fontId="18" fillId="6" borderId="1" xfId="0" applyFont="1" applyFill="1" applyBorder="1" applyAlignment="1" applyProtection="1">
      <alignment horizontal="center"/>
      <protection hidden="1"/>
    </xf>
    <xf numFmtId="166" fontId="21" fillId="6" borderId="1" xfId="1" applyNumberFormat="1" applyFont="1" applyFill="1" applyBorder="1" applyAlignment="1" applyProtection="1">
      <alignment horizontal="center"/>
      <protection hidden="1"/>
    </xf>
    <xf numFmtId="166" fontId="21" fillId="6" borderId="1" xfId="1" applyNumberFormat="1" applyFont="1" applyFill="1" applyBorder="1" applyProtection="1">
      <protection hidden="1"/>
    </xf>
    <xf numFmtId="166" fontId="21" fillId="6" borderId="1" xfId="1" applyNumberFormat="1" applyFont="1" applyFill="1" applyBorder="1" applyAlignment="1" applyProtection="1">
      <alignment horizontal="center" wrapText="1"/>
      <protection hidden="1"/>
    </xf>
    <xf numFmtId="166" fontId="21" fillId="0" borderId="1" xfId="1" applyNumberFormat="1" applyFont="1" applyFill="1" applyBorder="1" applyAlignment="1" applyProtection="1">
      <alignment horizontal="center"/>
      <protection hidden="1"/>
    </xf>
    <xf numFmtId="166" fontId="21" fillId="0" borderId="1" xfId="1" applyNumberFormat="1" applyFont="1" applyFill="1" applyBorder="1" applyProtection="1">
      <protection hidden="1"/>
    </xf>
    <xf numFmtId="166" fontId="21" fillId="0" borderId="1" xfId="1" applyNumberFormat="1" applyFont="1" applyFill="1" applyBorder="1" applyAlignment="1" applyProtection="1">
      <alignment horizontal="center" wrapText="1"/>
      <protection hidden="1"/>
    </xf>
    <xf numFmtId="0" fontId="18" fillId="6" borderId="1" xfId="0" applyFont="1" applyFill="1" applyBorder="1" applyAlignment="1" applyProtection="1">
      <alignment wrapText="1"/>
      <protection hidden="1"/>
    </xf>
    <xf numFmtId="0" fontId="21" fillId="6" borderId="1" xfId="0" applyFont="1" applyFill="1" applyBorder="1" applyAlignment="1" applyProtection="1">
      <alignment horizontal="center"/>
      <protection hidden="1"/>
    </xf>
    <xf numFmtId="166" fontId="22" fillId="6" borderId="1" xfId="1" applyNumberFormat="1" applyFont="1" applyFill="1" applyBorder="1" applyProtection="1">
      <protection hidden="1"/>
    </xf>
    <xf numFmtId="166" fontId="22" fillId="0" borderId="1" xfId="1" applyNumberFormat="1" applyFont="1" applyFill="1" applyBorder="1" applyProtection="1">
      <protection hidden="1"/>
    </xf>
    <xf numFmtId="0" fontId="18" fillId="7" borderId="1" xfId="0" applyFont="1" applyFill="1" applyBorder="1" applyProtection="1">
      <protection hidden="1"/>
    </xf>
    <xf numFmtId="0" fontId="18" fillId="7" borderId="1" xfId="0" applyFont="1" applyFill="1" applyBorder="1" applyAlignment="1" applyProtection="1">
      <alignment horizontal="center"/>
      <protection hidden="1"/>
    </xf>
    <xf numFmtId="0" fontId="21" fillId="7" borderId="1" xfId="0" applyFont="1" applyFill="1" applyBorder="1" applyAlignment="1" applyProtection="1">
      <alignment horizontal="center"/>
      <protection hidden="1"/>
    </xf>
    <xf numFmtId="166" fontId="22" fillId="7" borderId="1" xfId="1" applyNumberFormat="1" applyFont="1" applyFill="1" applyBorder="1" applyProtection="1">
      <protection hidden="1"/>
    </xf>
    <xf numFmtId="0" fontId="18" fillId="7" borderId="0" xfId="0" applyFont="1" applyFill="1" applyProtection="1">
      <protection hidden="1"/>
    </xf>
    <xf numFmtId="0" fontId="18" fillId="7" borderId="0" xfId="0" applyFont="1" applyFill="1" applyAlignment="1" applyProtection="1">
      <alignment horizontal="center"/>
      <protection hidden="1"/>
    </xf>
    <xf numFmtId="0" fontId="21" fillId="7" borderId="0" xfId="0" applyFont="1" applyFill="1" applyAlignment="1" applyProtection="1">
      <alignment horizontal="center"/>
      <protection hidden="1"/>
    </xf>
    <xf numFmtId="166" fontId="21" fillId="7" borderId="0" xfId="1" applyNumberFormat="1" applyFont="1" applyFill="1" applyAlignment="1" applyProtection="1">
      <alignment horizontal="center"/>
      <protection hidden="1"/>
    </xf>
    <xf numFmtId="166" fontId="21" fillId="0" borderId="0" xfId="1" applyNumberFormat="1" applyFont="1" applyFill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0" xfId="0" applyFont="1" applyAlignment="1" applyProtection="1">
      <alignment wrapText="1"/>
      <protection hidden="1"/>
    </xf>
    <xf numFmtId="0" fontId="21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18" fillId="0" borderId="1" xfId="0" applyFont="1" applyBorder="1" applyAlignment="1" applyProtection="1">
      <alignment wrapText="1"/>
      <protection hidden="1"/>
    </xf>
    <xf numFmtId="166" fontId="22" fillId="6" borderId="1" xfId="1" applyNumberFormat="1" applyFont="1" applyFill="1" applyBorder="1" applyAlignment="1" applyProtection="1">
      <alignment wrapText="1"/>
      <protection hidden="1"/>
    </xf>
    <xf numFmtId="0" fontId="21" fillId="0" borderId="1" xfId="0" applyFont="1" applyBorder="1" applyAlignment="1" applyProtection="1">
      <alignment horizontal="center"/>
      <protection hidden="1"/>
    </xf>
    <xf numFmtId="166" fontId="23" fillId="8" borderId="1" xfId="1" applyNumberFormat="1" applyFont="1" applyFill="1" applyBorder="1" applyAlignment="1" applyProtection="1">
      <alignment wrapText="1"/>
      <protection hidden="1"/>
    </xf>
    <xf numFmtId="166" fontId="21" fillId="7" borderId="1" xfId="1" applyNumberFormat="1" applyFont="1" applyFill="1" applyBorder="1" applyProtection="1">
      <protection hidden="1"/>
    </xf>
    <xf numFmtId="166" fontId="22" fillId="7" borderId="1" xfId="1" applyNumberFormat="1" applyFont="1" applyFill="1" applyBorder="1" applyAlignment="1" applyProtection="1">
      <alignment wrapText="1"/>
      <protection hidden="1"/>
    </xf>
    <xf numFmtId="166" fontId="21" fillId="7" borderId="0" xfId="1" applyNumberFormat="1" applyFont="1" applyFill="1" applyProtection="1">
      <protection hidden="1"/>
    </xf>
    <xf numFmtId="166" fontId="21" fillId="7" borderId="0" xfId="1" applyNumberFormat="1" applyFont="1" applyFill="1" applyAlignment="1" applyProtection="1">
      <alignment horizontal="center" wrapText="1"/>
      <protection hidden="1"/>
    </xf>
    <xf numFmtId="0" fontId="18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horizontal="center"/>
      <protection hidden="1"/>
    </xf>
    <xf numFmtId="166" fontId="21" fillId="0" borderId="0" xfId="1" applyNumberFormat="1" applyFont="1" applyFill="1" applyProtection="1">
      <protection hidden="1"/>
    </xf>
    <xf numFmtId="166" fontId="21" fillId="0" borderId="0" xfId="1" applyNumberFormat="1" applyFont="1" applyFill="1" applyAlignment="1" applyProtection="1">
      <alignment horizontal="center" wrapText="1"/>
      <protection hidden="1"/>
    </xf>
    <xf numFmtId="165" fontId="26" fillId="2" borderId="23" xfId="1" applyFont="1" applyFill="1" applyBorder="1" applyProtection="1">
      <protection hidden="1"/>
    </xf>
    <xf numFmtId="166" fontId="26" fillId="0" borderId="23" xfId="1" applyNumberFormat="1" applyFont="1" applyFill="1" applyBorder="1" applyProtection="1">
      <protection hidden="1"/>
    </xf>
    <xf numFmtId="0" fontId="27" fillId="2" borderId="0" xfId="0" applyFont="1" applyFill="1" applyProtection="1">
      <protection hidden="1"/>
    </xf>
    <xf numFmtId="0" fontId="26" fillId="2" borderId="11" xfId="0" applyFont="1" applyFill="1" applyBorder="1" applyAlignment="1" applyProtection="1">
      <alignment horizontal="left" wrapText="1"/>
      <protection hidden="1"/>
    </xf>
    <xf numFmtId="0" fontId="26" fillId="2" borderId="23" xfId="1" applyNumberFormat="1" applyFont="1" applyFill="1" applyBorder="1" applyProtection="1">
      <protection hidden="1"/>
    </xf>
    <xf numFmtId="0" fontId="7" fillId="2" borderId="11" xfId="0" applyFont="1" applyFill="1" applyBorder="1" applyAlignment="1" applyProtection="1">
      <alignment horizontal="left" wrapText="1"/>
      <protection hidden="1"/>
    </xf>
    <xf numFmtId="0" fontId="7" fillId="2" borderId="23" xfId="1" applyNumberFormat="1" applyFont="1" applyFill="1" applyBorder="1" applyProtection="1">
      <protection hidden="1"/>
    </xf>
    <xf numFmtId="167" fontId="21" fillId="0" borderId="1" xfId="1" applyNumberFormat="1" applyFont="1" applyBorder="1" applyAlignment="1" applyProtection="1">
      <alignment horizontal="center"/>
      <protection hidden="1"/>
    </xf>
    <xf numFmtId="0" fontId="7" fillId="2" borderId="11" xfId="0" applyFont="1" applyFill="1" applyBorder="1" applyAlignment="1" applyProtection="1">
      <alignment wrapText="1"/>
      <protection hidden="1"/>
    </xf>
    <xf numFmtId="0" fontId="7" fillId="2" borderId="23" xfId="0" applyFont="1" applyFill="1" applyBorder="1" applyAlignment="1" applyProtection="1">
      <alignment wrapText="1"/>
      <protection hidden="1"/>
    </xf>
    <xf numFmtId="165" fontId="7" fillId="0" borderId="23" xfId="1" applyFont="1" applyFill="1" applyBorder="1" applyProtection="1">
      <protection hidden="1"/>
    </xf>
    <xf numFmtId="165" fontId="29" fillId="2" borderId="23" xfId="1" applyFont="1" applyFill="1" applyBorder="1" applyProtection="1">
      <protection hidden="1"/>
    </xf>
    <xf numFmtId="165" fontId="26" fillId="0" borderId="23" xfId="1" applyFont="1" applyFill="1" applyBorder="1" applyProtection="1">
      <protection hidden="1"/>
    </xf>
    <xf numFmtId="166" fontId="26" fillId="2" borderId="23" xfId="1" applyNumberFormat="1" applyFont="1" applyFill="1" applyBorder="1" applyProtection="1">
      <protection hidden="1"/>
    </xf>
    <xf numFmtId="166" fontId="29" fillId="0" borderId="23" xfId="1" applyNumberFormat="1" applyFont="1" applyFill="1" applyBorder="1" applyProtection="1">
      <protection hidden="1"/>
    </xf>
    <xf numFmtId="166" fontId="29" fillId="2" borderId="23" xfId="1" applyNumberFormat="1" applyFont="1" applyFill="1" applyBorder="1" applyProtection="1">
      <protection hidden="1"/>
    </xf>
    <xf numFmtId="0" fontId="26" fillId="2" borderId="11" xfId="0" applyFont="1" applyFill="1" applyBorder="1" applyAlignment="1" applyProtection="1">
      <alignment wrapText="1"/>
      <protection hidden="1"/>
    </xf>
    <xf numFmtId="0" fontId="26" fillId="2" borderId="23" xfId="0" applyFont="1" applyFill="1" applyBorder="1" applyAlignment="1" applyProtection="1">
      <alignment wrapText="1"/>
      <protection hidden="1"/>
    </xf>
    <xf numFmtId="0" fontId="28" fillId="2" borderId="11" xfId="0" applyFont="1" applyFill="1" applyBorder="1" applyAlignment="1" applyProtection="1">
      <alignment wrapText="1"/>
      <protection hidden="1"/>
    </xf>
    <xf numFmtId="165" fontId="7" fillId="5" borderId="23" xfId="1" applyFont="1" applyFill="1" applyBorder="1" applyProtection="1">
      <protection hidden="1"/>
    </xf>
    <xf numFmtId="0" fontId="32" fillId="2" borderId="14" xfId="0" applyFont="1" applyFill="1" applyBorder="1" applyAlignment="1" applyProtection="1">
      <alignment wrapText="1"/>
      <protection hidden="1"/>
    </xf>
    <xf numFmtId="0" fontId="7" fillId="2" borderId="24" xfId="0" applyFont="1" applyFill="1" applyBorder="1" applyProtection="1">
      <protection hidden="1"/>
    </xf>
    <xf numFmtId="165" fontId="9" fillId="2" borderId="24" xfId="1" applyFont="1" applyFill="1" applyBorder="1" applyProtection="1">
      <protection hidden="1"/>
    </xf>
    <xf numFmtId="166" fontId="9" fillId="2" borderId="24" xfId="1" applyNumberFormat="1" applyFont="1" applyFill="1" applyBorder="1" applyProtection="1">
      <protection hidden="1"/>
    </xf>
    <xf numFmtId="165" fontId="7" fillId="2" borderId="24" xfId="1" applyFont="1" applyFill="1" applyBorder="1" applyAlignment="1" applyProtection="1">
      <alignment horizontal="center"/>
      <protection hidden="1"/>
    </xf>
    <xf numFmtId="0" fontId="6" fillId="3" borderId="3" xfId="0" applyFont="1" applyFill="1" applyBorder="1" applyAlignment="1" applyProtection="1">
      <alignment wrapText="1"/>
      <protection hidden="1"/>
    </xf>
    <xf numFmtId="0" fontId="7" fillId="3" borderId="3" xfId="0" applyFont="1" applyFill="1" applyBorder="1" applyAlignment="1" applyProtection="1">
      <alignment wrapText="1"/>
      <protection hidden="1"/>
    </xf>
    <xf numFmtId="165" fontId="9" fillId="3" borderId="3" xfId="1" applyFont="1" applyFill="1" applyBorder="1" applyAlignment="1" applyProtection="1">
      <alignment wrapText="1"/>
      <protection hidden="1"/>
    </xf>
    <xf numFmtId="166" fontId="7" fillId="3" borderId="3" xfId="1" applyNumberFormat="1" applyFont="1" applyFill="1" applyBorder="1" applyProtection="1">
      <protection hidden="1"/>
    </xf>
    <xf numFmtId="165" fontId="9" fillId="3" borderId="3" xfId="1" applyFont="1" applyFill="1" applyBorder="1" applyProtection="1">
      <protection hidden="1"/>
    </xf>
    <xf numFmtId="166" fontId="9" fillId="3" borderId="3" xfId="1" applyNumberFormat="1" applyFont="1" applyFill="1" applyBorder="1" applyProtection="1">
      <protection hidden="1"/>
    </xf>
    <xf numFmtId="165" fontId="9" fillId="3" borderId="3" xfId="1" applyFont="1" applyFill="1" applyBorder="1" applyAlignment="1" applyProtection="1">
      <alignment horizontal="center"/>
      <protection hidden="1"/>
    </xf>
    <xf numFmtId="166" fontId="9" fillId="3" borderId="4" xfId="1" applyNumberFormat="1" applyFont="1" applyFill="1" applyBorder="1" applyProtection="1">
      <protection hidden="1"/>
    </xf>
    <xf numFmtId="166" fontId="7" fillId="3" borderId="4" xfId="1" applyNumberFormat="1" applyFont="1" applyFill="1" applyBorder="1" applyProtection="1">
      <protection hidden="1"/>
    </xf>
    <xf numFmtId="0" fontId="34" fillId="2" borderId="16" xfId="0" applyFont="1" applyFill="1" applyBorder="1" applyAlignment="1" applyProtection="1">
      <alignment wrapText="1"/>
      <protection hidden="1"/>
    </xf>
    <xf numFmtId="0" fontId="7" fillId="2" borderId="22" xfId="0" applyFont="1" applyFill="1" applyBorder="1" applyAlignment="1" applyProtection="1">
      <alignment wrapText="1"/>
      <protection hidden="1"/>
    </xf>
    <xf numFmtId="165" fontId="9" fillId="2" borderId="22" xfId="1" applyFont="1" applyFill="1" applyBorder="1" applyAlignment="1" applyProtection="1">
      <alignment wrapText="1"/>
      <protection hidden="1"/>
    </xf>
    <xf numFmtId="165" fontId="9" fillId="2" borderId="22" xfId="1" applyFont="1" applyFill="1" applyBorder="1" applyAlignment="1" applyProtection="1">
      <alignment horizontal="center"/>
      <protection hidden="1"/>
    </xf>
    <xf numFmtId="166" fontId="9" fillId="2" borderId="22" xfId="1" applyNumberFormat="1" applyFont="1" applyFill="1" applyBorder="1" applyProtection="1">
      <protection hidden="1"/>
    </xf>
    <xf numFmtId="165" fontId="35" fillId="2" borderId="23" xfId="1" applyFont="1" applyFill="1" applyBorder="1" applyProtection="1">
      <protection hidden="1"/>
    </xf>
    <xf numFmtId="166" fontId="35" fillId="2" borderId="23" xfId="1" applyNumberFormat="1" applyFont="1" applyFill="1" applyBorder="1" applyProtection="1">
      <protection hidden="1"/>
    </xf>
    <xf numFmtId="165" fontId="37" fillId="2" borderId="23" xfId="1" applyFont="1" applyFill="1" applyBorder="1" applyProtection="1">
      <protection hidden="1"/>
    </xf>
    <xf numFmtId="0" fontId="38" fillId="2" borderId="11" xfId="0" applyFont="1" applyFill="1" applyBorder="1" applyAlignment="1" applyProtection="1">
      <alignment wrapText="1"/>
      <protection hidden="1"/>
    </xf>
    <xf numFmtId="0" fontId="38" fillId="2" borderId="23" xfId="0" applyFont="1" applyFill="1" applyBorder="1" applyAlignment="1" applyProtection="1">
      <alignment wrapText="1"/>
      <protection hidden="1"/>
    </xf>
    <xf numFmtId="165" fontId="38" fillId="2" borderId="23" xfId="1" applyFont="1" applyFill="1" applyBorder="1" applyProtection="1">
      <protection hidden="1"/>
    </xf>
    <xf numFmtId="166" fontId="38" fillId="0" borderId="23" xfId="1" applyNumberFormat="1" applyFont="1" applyFill="1" applyBorder="1" applyProtection="1">
      <protection hidden="1"/>
    </xf>
    <xf numFmtId="0" fontId="13" fillId="2" borderId="5" xfId="0" applyFont="1" applyFill="1" applyBorder="1" applyProtection="1">
      <protection hidden="1"/>
    </xf>
    <xf numFmtId="0" fontId="36" fillId="2" borderId="9" xfId="0" applyFont="1" applyFill="1" applyBorder="1" applyProtection="1">
      <protection hidden="1"/>
    </xf>
    <xf numFmtId="0" fontId="40" fillId="0" borderId="0" xfId="0" applyFont="1"/>
    <xf numFmtId="0" fontId="15" fillId="2" borderId="9" xfId="0" applyFont="1" applyFill="1" applyBorder="1" applyProtection="1">
      <protection hidden="1"/>
    </xf>
    <xf numFmtId="0" fontId="41" fillId="2" borderId="0" xfId="0" applyFont="1" applyFill="1"/>
    <xf numFmtId="0" fontId="40" fillId="2" borderId="0" xfId="0" applyFont="1" applyFill="1" applyAlignment="1">
      <alignment vertical="center"/>
    </xf>
    <xf numFmtId="0" fontId="41" fillId="0" borderId="0" xfId="0" applyFont="1"/>
    <xf numFmtId="0" fontId="42" fillId="2" borderId="9" xfId="0" applyFont="1" applyFill="1" applyBorder="1" applyProtection="1">
      <protection hidden="1"/>
    </xf>
    <xf numFmtId="0" fontId="17" fillId="2" borderId="9" xfId="0" applyFont="1" applyFill="1" applyBorder="1" applyProtection="1">
      <protection hidden="1"/>
    </xf>
    <xf numFmtId="0" fontId="20" fillId="2" borderId="9" xfId="0" applyFont="1" applyFill="1" applyBorder="1" applyProtection="1">
      <protection hidden="1"/>
    </xf>
    <xf numFmtId="0" fontId="43" fillId="2" borderId="9" xfId="0" applyFont="1" applyFill="1" applyBorder="1" applyProtection="1">
      <protection hidden="1"/>
    </xf>
    <xf numFmtId="0" fontId="44" fillId="2" borderId="9" xfId="0" applyFont="1" applyFill="1" applyBorder="1" applyProtection="1">
      <protection hidden="1"/>
    </xf>
    <xf numFmtId="0" fontId="41" fillId="0" borderId="0" xfId="0" applyFont="1" applyAlignment="1">
      <alignment vertical="center"/>
    </xf>
    <xf numFmtId="0" fontId="45" fillId="2" borderId="9" xfId="0" applyFont="1" applyFill="1" applyBorder="1" applyProtection="1">
      <protection hidden="1"/>
    </xf>
    <xf numFmtId="0" fontId="46" fillId="2" borderId="9" xfId="0" applyFont="1" applyFill="1" applyBorder="1" applyProtection="1">
      <protection hidden="1"/>
    </xf>
    <xf numFmtId="0" fontId="47" fillId="9" borderId="0" xfId="0" applyFont="1" applyFill="1" applyAlignment="1" applyProtection="1">
      <alignment wrapText="1"/>
      <protection hidden="1"/>
    </xf>
    <xf numFmtId="0" fontId="47" fillId="9" borderId="0" xfId="0" applyFont="1" applyFill="1" applyProtection="1">
      <protection hidden="1"/>
    </xf>
    <xf numFmtId="165" fontId="47" fillId="9" borderId="0" xfId="1" applyFont="1" applyFill="1" applyBorder="1" applyProtection="1">
      <protection hidden="1"/>
    </xf>
    <xf numFmtId="166" fontId="47" fillId="9" borderId="0" xfId="1" applyNumberFormat="1" applyFont="1" applyFill="1" applyBorder="1" applyProtection="1">
      <protection hidden="1"/>
    </xf>
    <xf numFmtId="165" fontId="48" fillId="9" borderId="0" xfId="1" applyFont="1" applyFill="1" applyBorder="1" applyProtection="1">
      <protection hidden="1"/>
    </xf>
    <xf numFmtId="166" fontId="48" fillId="9" borderId="10" xfId="1" applyNumberFormat="1" applyFont="1" applyFill="1" applyBorder="1" applyProtection="1">
      <protection hidden="1"/>
    </xf>
    <xf numFmtId="49" fontId="48" fillId="9" borderId="9" xfId="0" applyNumberFormat="1" applyFont="1" applyFill="1" applyBorder="1" applyProtection="1">
      <protection hidden="1"/>
    </xf>
    <xf numFmtId="167" fontId="21" fillId="6" borderId="1" xfId="1" applyNumberFormat="1" applyFont="1" applyFill="1" applyBorder="1" applyAlignment="1" applyProtection="1">
      <alignment horizontal="center"/>
      <protection hidden="1"/>
    </xf>
    <xf numFmtId="167" fontId="21" fillId="0" borderId="1" xfId="1" applyNumberFormat="1" applyFont="1" applyFill="1" applyBorder="1" applyAlignment="1" applyProtection="1">
      <alignment horizontal="center"/>
      <protection hidden="1"/>
    </xf>
    <xf numFmtId="165" fontId="38" fillId="0" borderId="23" xfId="1" applyFont="1" applyFill="1" applyBorder="1" applyProtection="1">
      <protection hidden="1"/>
    </xf>
    <xf numFmtId="0" fontId="49" fillId="8" borderId="5" xfId="0" applyFont="1" applyFill="1" applyBorder="1" applyProtection="1">
      <protection hidden="1"/>
    </xf>
    <xf numFmtId="0" fontId="50" fillId="8" borderId="17" xfId="0" applyFont="1" applyFill="1" applyBorder="1" applyAlignment="1" applyProtection="1">
      <alignment wrapText="1"/>
      <protection hidden="1"/>
    </xf>
    <xf numFmtId="0" fontId="50" fillId="8" borderId="17" xfId="1" applyNumberFormat="1" applyFont="1" applyFill="1" applyBorder="1" applyAlignment="1" applyProtection="1">
      <alignment wrapText="1"/>
      <protection hidden="1"/>
    </xf>
    <xf numFmtId="165" fontId="50" fillId="8" borderId="17" xfId="1" applyFont="1" applyFill="1" applyBorder="1" applyAlignment="1" applyProtection="1">
      <alignment wrapText="1"/>
      <protection hidden="1"/>
    </xf>
    <xf numFmtId="166" fontId="50" fillId="8" borderId="17" xfId="1" applyNumberFormat="1" applyFont="1" applyFill="1" applyBorder="1" applyAlignment="1" applyProtection="1">
      <alignment wrapText="1"/>
      <protection hidden="1"/>
    </xf>
    <xf numFmtId="166" fontId="50" fillId="8" borderId="6" xfId="1" applyNumberFormat="1" applyFont="1" applyFill="1" applyBorder="1" applyAlignment="1" applyProtection="1">
      <alignment wrapText="1"/>
      <protection hidden="1"/>
    </xf>
    <xf numFmtId="0" fontId="51" fillId="8" borderId="9" xfId="0" applyFont="1" applyFill="1" applyBorder="1" applyProtection="1">
      <protection hidden="1"/>
    </xf>
    <xf numFmtId="0" fontId="51" fillId="8" borderId="0" xfId="0" applyFont="1" applyFill="1" applyAlignment="1" applyProtection="1">
      <alignment wrapText="1"/>
      <protection hidden="1"/>
    </xf>
    <xf numFmtId="165" fontId="51" fillId="8" borderId="0" xfId="1" applyFont="1" applyFill="1" applyBorder="1" applyAlignment="1" applyProtection="1">
      <alignment wrapText="1"/>
      <protection hidden="1"/>
    </xf>
    <xf numFmtId="0" fontId="51" fillId="8" borderId="10" xfId="0" applyFont="1" applyFill="1" applyBorder="1" applyAlignment="1" applyProtection="1">
      <alignment wrapText="1"/>
      <protection hidden="1"/>
    </xf>
    <xf numFmtId="0" fontId="50" fillId="8" borderId="9" xfId="0" applyFont="1" applyFill="1" applyBorder="1" applyProtection="1">
      <protection hidden="1"/>
    </xf>
    <xf numFmtId="0" fontId="50" fillId="8" borderId="0" xfId="0" applyFont="1" applyFill="1" applyAlignment="1" applyProtection="1">
      <alignment wrapText="1"/>
      <protection hidden="1"/>
    </xf>
    <xf numFmtId="0" fontId="50" fillId="8" borderId="0" xfId="1" applyNumberFormat="1" applyFont="1" applyFill="1" applyBorder="1" applyAlignment="1" applyProtection="1">
      <alignment wrapText="1"/>
      <protection hidden="1"/>
    </xf>
    <xf numFmtId="165" fontId="50" fillId="8" borderId="0" xfId="1" applyFont="1" applyFill="1" applyBorder="1" applyAlignment="1" applyProtection="1">
      <alignment wrapText="1"/>
      <protection hidden="1"/>
    </xf>
    <xf numFmtId="166" fontId="50" fillId="8" borderId="0" xfId="1" applyNumberFormat="1" applyFont="1" applyFill="1" applyBorder="1" applyAlignment="1" applyProtection="1">
      <alignment wrapText="1"/>
      <protection hidden="1"/>
    </xf>
    <xf numFmtId="166" fontId="50" fillId="8" borderId="10" xfId="1" applyNumberFormat="1" applyFont="1" applyFill="1" applyBorder="1" applyAlignment="1" applyProtection="1">
      <alignment wrapText="1"/>
      <protection hidden="1"/>
    </xf>
    <xf numFmtId="166" fontId="23" fillId="10" borderId="1" xfId="1" applyNumberFormat="1" applyFont="1" applyFill="1" applyBorder="1" applyAlignment="1" applyProtection="1">
      <alignment wrapText="1"/>
      <protection hidden="1"/>
    </xf>
    <xf numFmtId="166" fontId="52" fillId="10" borderId="1" xfId="1" applyNumberFormat="1" applyFont="1" applyFill="1" applyBorder="1" applyAlignment="1" applyProtection="1">
      <alignment horizontal="center"/>
      <protection hidden="1"/>
    </xf>
    <xf numFmtId="165" fontId="3" fillId="3" borderId="3" xfId="1" applyFont="1" applyFill="1" applyBorder="1" applyProtection="1">
      <protection locked="0" hidden="1"/>
    </xf>
    <xf numFmtId="165" fontId="29" fillId="0" borderId="23" xfId="1" applyFont="1" applyFill="1" applyBorder="1" applyProtection="1">
      <protection hidden="1"/>
    </xf>
    <xf numFmtId="165" fontId="9" fillId="0" borderId="24" xfId="1" applyFont="1" applyFill="1" applyBorder="1" applyProtection="1">
      <protection hidden="1"/>
    </xf>
    <xf numFmtId="165" fontId="4" fillId="2" borderId="0" xfId="1" applyFont="1" applyFill="1" applyAlignment="1" applyProtection="1">
      <alignment wrapText="1"/>
      <protection hidden="1"/>
    </xf>
    <xf numFmtId="165" fontId="14" fillId="2" borderId="0" xfId="1" applyFont="1" applyFill="1" applyAlignment="1" applyProtection="1">
      <alignment wrapText="1"/>
      <protection hidden="1"/>
    </xf>
    <xf numFmtId="165" fontId="51" fillId="8" borderId="0" xfId="1" applyFont="1" applyFill="1" applyAlignment="1" applyProtection="1">
      <alignment wrapText="1"/>
      <protection hidden="1"/>
    </xf>
    <xf numFmtId="165" fontId="50" fillId="8" borderId="0" xfId="1" applyFont="1" applyFill="1" applyAlignment="1" applyProtection="1">
      <alignment wrapText="1"/>
      <protection hidden="1"/>
    </xf>
    <xf numFmtId="165" fontId="15" fillId="4" borderId="0" xfId="1" applyFont="1" applyFill="1" applyAlignment="1" applyProtection="1">
      <alignment wrapText="1"/>
      <protection hidden="1"/>
    </xf>
    <xf numFmtId="165" fontId="9" fillId="2" borderId="22" xfId="1" applyFont="1" applyFill="1" applyBorder="1" applyProtection="1">
      <protection hidden="1"/>
    </xf>
    <xf numFmtId="165" fontId="15" fillId="2" borderId="0" xfId="1" applyFont="1" applyFill="1" applyAlignment="1" applyProtection="1">
      <alignment horizontal="left" wrapText="1"/>
      <protection hidden="1"/>
    </xf>
    <xf numFmtId="168" fontId="7" fillId="2" borderId="8" xfId="0" applyNumberFormat="1" applyFont="1" applyFill="1" applyBorder="1" applyAlignment="1" applyProtection="1">
      <alignment wrapText="1"/>
      <protection hidden="1"/>
    </xf>
    <xf numFmtId="168" fontId="26" fillId="2" borderId="8" xfId="0" applyNumberFormat="1" applyFont="1" applyFill="1" applyBorder="1" applyProtection="1">
      <protection hidden="1"/>
    </xf>
    <xf numFmtId="168" fontId="28" fillId="2" borderId="8" xfId="0" applyNumberFormat="1" applyFont="1" applyFill="1" applyBorder="1" applyProtection="1">
      <protection hidden="1"/>
    </xf>
    <xf numFmtId="168" fontId="26" fillId="2" borderId="8" xfId="0" applyNumberFormat="1" applyFont="1" applyFill="1" applyBorder="1" applyAlignment="1" applyProtection="1">
      <alignment wrapText="1"/>
      <protection hidden="1"/>
    </xf>
    <xf numFmtId="168" fontId="7" fillId="2" borderId="13" xfId="0" applyNumberFormat="1" applyFont="1" applyFill="1" applyBorder="1" applyProtection="1">
      <protection hidden="1"/>
    </xf>
    <xf numFmtId="168" fontId="33" fillId="3" borderId="2" xfId="0" applyNumberFormat="1" applyFont="1" applyFill="1" applyBorder="1" applyAlignment="1" applyProtection="1">
      <alignment wrapText="1"/>
      <protection hidden="1"/>
    </xf>
    <xf numFmtId="168" fontId="33" fillId="2" borderId="15" xfId="0" applyNumberFormat="1" applyFont="1" applyFill="1" applyBorder="1" applyAlignment="1" applyProtection="1">
      <alignment wrapText="1"/>
      <protection hidden="1"/>
    </xf>
    <xf numFmtId="168" fontId="35" fillId="2" borderId="8" xfId="0" applyNumberFormat="1" applyFont="1" applyFill="1" applyBorder="1" applyAlignment="1" applyProtection="1">
      <alignment wrapText="1"/>
      <protection hidden="1"/>
    </xf>
    <xf numFmtId="168" fontId="37" fillId="2" borderId="8" xfId="0" applyNumberFormat="1" applyFont="1" applyFill="1" applyBorder="1" applyAlignment="1" applyProtection="1">
      <alignment wrapText="1"/>
      <protection hidden="1"/>
    </xf>
    <xf numFmtId="168" fontId="38" fillId="2" borderId="8" xfId="0" applyNumberFormat="1" applyFont="1" applyFill="1" applyBorder="1" applyAlignment="1" applyProtection="1">
      <alignment wrapText="1"/>
      <protection hidden="1"/>
    </xf>
    <xf numFmtId="2" fontId="3" fillId="3" borderId="3" xfId="0" applyNumberFormat="1" applyFont="1" applyFill="1" applyBorder="1" applyProtection="1">
      <protection locked="0" hidden="1"/>
    </xf>
    <xf numFmtId="2" fontId="4" fillId="2" borderId="18" xfId="1" applyNumberFormat="1" applyFont="1" applyFill="1" applyBorder="1" applyProtection="1">
      <protection hidden="1"/>
    </xf>
    <xf numFmtId="2" fontId="7" fillId="4" borderId="1" xfId="1" applyNumberFormat="1" applyFont="1" applyFill="1" applyBorder="1" applyAlignment="1" applyProtection="1">
      <alignment horizontal="center" wrapText="1"/>
      <protection hidden="1"/>
    </xf>
    <xf numFmtId="2" fontId="7" fillId="5" borderId="1" xfId="1" applyNumberFormat="1" applyFont="1" applyFill="1" applyBorder="1" applyAlignment="1" applyProtection="1">
      <alignment horizontal="center" wrapText="1"/>
      <protection hidden="1"/>
    </xf>
    <xf numFmtId="2" fontId="8" fillId="4" borderId="1" xfId="0" applyNumberFormat="1" applyFont="1" applyFill="1" applyBorder="1" applyAlignment="1" applyProtection="1">
      <alignment horizontal="center" wrapText="1"/>
      <protection hidden="1"/>
    </xf>
    <xf numFmtId="2" fontId="4" fillId="3" borderId="3" xfId="1" applyNumberFormat="1" applyFont="1" applyFill="1" applyBorder="1" applyProtection="1">
      <protection hidden="1"/>
    </xf>
    <xf numFmtId="2" fontId="4" fillId="2" borderId="22" xfId="1" applyNumberFormat="1" applyFont="1" applyFill="1" applyBorder="1" applyProtection="1">
      <protection hidden="1"/>
    </xf>
    <xf numFmtId="2" fontId="7" fillId="2" borderId="23" xfId="1" applyNumberFormat="1" applyFont="1" applyFill="1" applyBorder="1" applyProtection="1">
      <protection hidden="1"/>
    </xf>
    <xf numFmtId="2" fontId="7" fillId="0" borderId="23" xfId="1" applyNumberFormat="1" applyFont="1" applyFill="1" applyBorder="1" applyProtection="1">
      <protection hidden="1"/>
    </xf>
    <xf numFmtId="2" fontId="26" fillId="0" borderId="23" xfId="1" applyNumberFormat="1" applyFont="1" applyFill="1" applyBorder="1" applyProtection="1">
      <protection hidden="1"/>
    </xf>
    <xf numFmtId="2" fontId="29" fillId="0" borderId="23" xfId="1" applyNumberFormat="1" applyFont="1" applyFill="1" applyBorder="1" applyProtection="1">
      <protection hidden="1"/>
    </xf>
    <xf numFmtId="2" fontId="7" fillId="2" borderId="24" xfId="1" applyNumberFormat="1" applyFont="1" applyFill="1" applyBorder="1" applyProtection="1">
      <protection hidden="1"/>
    </xf>
    <xf numFmtId="2" fontId="7" fillId="3" borderId="3" xfId="1" applyNumberFormat="1" applyFont="1" applyFill="1" applyBorder="1" applyProtection="1">
      <protection hidden="1"/>
    </xf>
    <xf numFmtId="2" fontId="7" fillId="2" borderId="22" xfId="1" applyNumberFormat="1" applyFont="1" applyFill="1" applyBorder="1" applyProtection="1">
      <protection hidden="1"/>
    </xf>
    <xf numFmtId="2" fontId="12" fillId="2" borderId="25" xfId="1" applyNumberFormat="1" applyFont="1" applyFill="1" applyBorder="1" applyProtection="1">
      <protection hidden="1"/>
    </xf>
    <xf numFmtId="2" fontId="47" fillId="9" borderId="0" xfId="1" applyNumberFormat="1" applyFont="1" applyFill="1" applyBorder="1" applyProtection="1">
      <protection hidden="1"/>
    </xf>
    <xf numFmtId="2" fontId="4" fillId="2" borderId="17" xfId="1" applyNumberFormat="1" applyFont="1" applyFill="1" applyBorder="1" applyAlignment="1" applyProtection="1">
      <alignment wrapText="1"/>
      <protection hidden="1"/>
    </xf>
    <xf numFmtId="2" fontId="4" fillId="2" borderId="0" xfId="1" applyNumberFormat="1" applyFont="1" applyFill="1" applyBorder="1" applyAlignment="1" applyProtection="1">
      <alignment wrapText="1"/>
      <protection hidden="1"/>
    </xf>
    <xf numFmtId="2" fontId="15" fillId="2" borderId="0" xfId="0" applyNumberFormat="1" applyFont="1" applyFill="1" applyAlignment="1" applyProtection="1">
      <alignment horizontal="left" wrapText="1"/>
      <protection hidden="1"/>
    </xf>
    <xf numFmtId="2" fontId="14" fillId="2" borderId="0" xfId="1" applyNumberFormat="1" applyFont="1" applyFill="1" applyBorder="1" applyAlignment="1" applyProtection="1">
      <alignment wrapText="1"/>
      <protection hidden="1"/>
    </xf>
    <xf numFmtId="2" fontId="50" fillId="8" borderId="17" xfId="1" applyNumberFormat="1" applyFont="1" applyFill="1" applyBorder="1" applyAlignment="1" applyProtection="1">
      <alignment wrapText="1"/>
      <protection hidden="1"/>
    </xf>
    <xf numFmtId="2" fontId="51" fillId="8" borderId="0" xfId="0" applyNumberFormat="1" applyFont="1" applyFill="1" applyAlignment="1" applyProtection="1">
      <alignment wrapText="1"/>
      <protection hidden="1"/>
    </xf>
    <xf numFmtId="2" fontId="50" fillId="8" borderId="0" xfId="1" applyNumberFormat="1" applyFont="1" applyFill="1" applyBorder="1" applyAlignment="1" applyProtection="1">
      <alignment wrapText="1"/>
      <protection hidden="1"/>
    </xf>
    <xf numFmtId="2" fontId="4" fillId="4" borderId="17" xfId="1" applyNumberFormat="1" applyFont="1" applyFill="1" applyBorder="1" applyAlignment="1" applyProtection="1">
      <alignment wrapText="1"/>
      <protection hidden="1"/>
    </xf>
    <xf numFmtId="2" fontId="15" fillId="4" borderId="0" xfId="0" applyNumberFormat="1" applyFont="1" applyFill="1" applyAlignment="1" applyProtection="1">
      <alignment wrapText="1"/>
      <protection hidden="1"/>
    </xf>
    <xf numFmtId="2" fontId="4" fillId="4" borderId="18" xfId="1" applyNumberFormat="1" applyFont="1" applyFill="1" applyBorder="1" applyAlignment="1" applyProtection="1">
      <alignment wrapText="1"/>
      <protection hidden="1"/>
    </xf>
    <xf numFmtId="2" fontId="4" fillId="2" borderId="0" xfId="1" applyNumberFormat="1" applyFont="1" applyFill="1" applyBorder="1" applyProtection="1">
      <protection hidden="1"/>
    </xf>
    <xf numFmtId="0" fontId="7" fillId="0" borderId="23" xfId="1" applyNumberFormat="1" applyFont="1" applyFill="1" applyBorder="1" applyProtection="1">
      <protection hidden="1"/>
    </xf>
    <xf numFmtId="0" fontId="53" fillId="0" borderId="0" xfId="0" applyFont="1"/>
    <xf numFmtId="2" fontId="0" fillId="0" borderId="26" xfId="0" applyNumberFormat="1" applyBorder="1" applyAlignment="1">
      <alignment horizontal="left"/>
    </xf>
    <xf numFmtId="169" fontId="21" fillId="0" borderId="0" xfId="0" applyNumberFormat="1" applyFont="1" applyProtection="1">
      <protection hidden="1"/>
    </xf>
    <xf numFmtId="166" fontId="21" fillId="11" borderId="1" xfId="1" applyNumberFormat="1" applyFont="1" applyFill="1" applyBorder="1" applyAlignment="1" applyProtection="1">
      <alignment horizontal="center"/>
      <protection hidden="1"/>
    </xf>
    <xf numFmtId="164" fontId="4" fillId="2" borderId="0" xfId="0" applyNumberFormat="1" applyFont="1" applyFill="1" applyProtection="1">
      <protection hidden="1"/>
    </xf>
    <xf numFmtId="0" fontId="19" fillId="2" borderId="0" xfId="0" applyFont="1" applyFill="1" applyAlignment="1" applyProtection="1">
      <alignment wrapText="1"/>
      <protection hidden="1"/>
    </xf>
    <xf numFmtId="165" fontId="19" fillId="2" borderId="0" xfId="1" applyFont="1" applyFill="1" applyBorder="1" applyAlignment="1" applyProtection="1">
      <alignment wrapText="1"/>
      <protection hidden="1"/>
    </xf>
    <xf numFmtId="166" fontId="19" fillId="2" borderId="0" xfId="1" applyNumberFormat="1" applyFont="1" applyFill="1" applyBorder="1" applyAlignment="1" applyProtection="1">
      <alignment wrapText="1"/>
      <protection hidden="1"/>
    </xf>
    <xf numFmtId="0" fontId="54" fillId="2" borderId="0" xfId="0" applyFont="1" applyFill="1" applyAlignment="1" applyProtection="1">
      <alignment wrapText="1"/>
      <protection hidden="1"/>
    </xf>
    <xf numFmtId="165" fontId="54" fillId="2" borderId="0" xfId="1" applyFont="1" applyFill="1" applyBorder="1" applyAlignment="1" applyProtection="1">
      <alignment wrapText="1"/>
      <protection hidden="1"/>
    </xf>
    <xf numFmtId="166" fontId="54" fillId="2" borderId="0" xfId="1" applyNumberFormat="1" applyFont="1" applyFill="1" applyBorder="1" applyAlignment="1" applyProtection="1">
      <alignment wrapText="1"/>
      <protection hidden="1"/>
    </xf>
    <xf numFmtId="0" fontId="16" fillId="0" borderId="2" xfId="0" applyFont="1" applyBorder="1" applyAlignment="1" applyProtection="1">
      <alignment horizontal="center"/>
      <protection hidden="1"/>
    </xf>
    <xf numFmtId="0" fontId="16" fillId="0" borderId="4" xfId="0" applyFont="1" applyBorder="1" applyAlignment="1" applyProtection="1">
      <alignment horizontal="center"/>
      <protection hidden="1"/>
    </xf>
    <xf numFmtId="0" fontId="16" fillId="0" borderId="3" xfId="0" applyFont="1" applyBorder="1" applyAlignment="1" applyProtection="1">
      <alignment horizontal="center"/>
      <protection hidden="1"/>
    </xf>
    <xf numFmtId="0" fontId="23" fillId="12" borderId="1" xfId="0" applyFont="1" applyFill="1" applyBorder="1" applyProtection="1">
      <protection hidden="1"/>
    </xf>
    <xf numFmtId="0" fontId="23" fillId="12" borderId="1" xfId="0" applyFont="1" applyFill="1" applyBorder="1" applyAlignment="1" applyProtection="1">
      <alignment horizontal="center"/>
      <protection hidden="1"/>
    </xf>
    <xf numFmtId="0" fontId="23" fillId="12" borderId="1" xfId="0" quotePrefix="1" applyFont="1" applyFill="1" applyBorder="1" applyAlignment="1" applyProtection="1">
      <alignment horizontal="center"/>
      <protection hidden="1"/>
    </xf>
    <xf numFmtId="166" fontId="23" fillId="12" borderId="1" xfId="1" applyNumberFormat="1" applyFont="1" applyFill="1" applyBorder="1" applyAlignment="1" applyProtection="1">
      <alignment horizontal="center" wrapText="1"/>
      <protection hidden="1"/>
    </xf>
    <xf numFmtId="166" fontId="23" fillId="12" borderId="1" xfId="1" applyNumberFormat="1" applyFont="1" applyFill="1" applyBorder="1" applyAlignment="1" applyProtection="1">
      <alignment horizontal="center"/>
      <protection hidden="1"/>
    </xf>
    <xf numFmtId="0" fontId="23" fillId="12" borderId="1" xfId="0" applyFont="1" applyFill="1" applyBorder="1" applyAlignment="1" applyProtection="1">
      <alignment wrapText="1"/>
      <protection hidden="1"/>
    </xf>
    <xf numFmtId="0" fontId="23" fillId="12" borderId="1" xfId="0" applyFont="1" applyFill="1" applyBorder="1" applyAlignment="1" applyProtection="1">
      <alignment horizontal="center" wrapText="1"/>
      <protection hidden="1"/>
    </xf>
    <xf numFmtId="0" fontId="23" fillId="12" borderId="1" xfId="0" quotePrefix="1" applyFont="1" applyFill="1" applyBorder="1" applyAlignment="1" applyProtection="1">
      <alignment horizontal="center" wrapText="1"/>
      <protection hidden="1"/>
    </xf>
    <xf numFmtId="166" fontId="23" fillId="12" borderId="1" xfId="1" applyNumberFormat="1" applyFont="1" applyFill="1" applyBorder="1" applyAlignment="1" applyProtection="1">
      <alignment wrapText="1"/>
      <protection hidden="1"/>
    </xf>
    <xf numFmtId="166" fontId="23" fillId="12" borderId="1" xfId="1" applyNumberFormat="1" applyFont="1" applyFill="1" applyBorder="1" applyProtection="1">
      <protection hidden="1"/>
    </xf>
    <xf numFmtId="165" fontId="1" fillId="0" borderId="1" xfId="1" applyFont="1" applyBorder="1" applyAlignment="1"/>
  </cellXfs>
  <cellStyles count="3">
    <cellStyle name="Comma" xfId="1" builtinId="3"/>
    <cellStyle name="Normal" xfId="0" builtinId="0"/>
    <cellStyle name="Percent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313272</xdr:colOff>
      <xdr:row>3</xdr:row>
      <xdr:rowOff>50796</xdr:rowOff>
    </xdr:from>
    <xdr:to>
      <xdr:col>1</xdr:col>
      <xdr:colOff>4038605</xdr:colOff>
      <xdr:row>3</xdr:row>
      <xdr:rowOff>917679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872" y="721356"/>
          <a:ext cx="3725333" cy="872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ewald/Local%20Settings/Temporary%20Internet%20Files/Content.IE5/TFZJTDCA/PSYCHIATRY%20CMS%20MODEL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e Items"/>
      <sheetName val="Labour"/>
      <sheetName val="Standard Equipment"/>
      <sheetName val="Special Equipment"/>
      <sheetName val="Overheads"/>
      <sheetName val="Responsibility Values"/>
      <sheetName val="Parameters"/>
      <sheetName val="Surve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0">
          <cell r="C20">
            <v>0.14000000000000001</v>
          </cell>
        </row>
        <row r="38">
          <cell r="C38">
            <v>5.7141124834168489</v>
          </cell>
        </row>
        <row r="45">
          <cell r="C45">
            <v>9.1992054483541423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6"/>
  <sheetViews>
    <sheetView tabSelected="1" zoomScale="85" zoomScaleNormal="85" workbookViewId="0">
      <pane xSplit="2" ySplit="6" topLeftCell="C7" activePane="bottomRight" state="frozen"/>
      <selection activeCell="A2" sqref="A2"/>
      <selection pane="topRight" activeCell="C2" sqref="C2"/>
      <selection pane="bottomLeft" activeCell="A7" sqref="A7"/>
      <selection pane="bottomRight" activeCell="C7" sqref="C7"/>
    </sheetView>
  </sheetViews>
  <sheetFormatPr defaultColWidth="9.109375" defaultRowHeight="13.8" x14ac:dyDescent="0.3"/>
  <cols>
    <col min="1" max="1" width="6.109375" style="78" customWidth="1"/>
    <col min="2" max="2" width="82.5546875" style="53" customWidth="1"/>
    <col min="3" max="3" width="11.6640625" style="1" bestFit="1" customWidth="1"/>
    <col min="4" max="4" width="10.109375" style="2" bestFit="1" customWidth="1"/>
    <col min="5" max="5" width="10.109375" style="3" bestFit="1" customWidth="1"/>
    <col min="6" max="6" width="10.109375" style="2" customWidth="1"/>
    <col min="7" max="7" width="10.109375" style="3" customWidth="1"/>
    <col min="8" max="8" width="9.6640625" style="2" customWidth="1"/>
    <col min="9" max="9" width="9.6640625" style="3" customWidth="1"/>
    <col min="10" max="10" width="10.109375" style="272" customWidth="1"/>
    <col min="11" max="11" width="10.109375" style="3" customWidth="1"/>
    <col min="12" max="12" width="10" style="2" customWidth="1"/>
    <col min="13" max="13" width="9.6640625" style="3" bestFit="1" customWidth="1"/>
    <col min="14" max="14" width="10" style="2" customWidth="1"/>
    <col min="15" max="15" width="8.33203125" style="3" customWidth="1"/>
    <col min="16" max="16" width="11.44140625" style="2" bestFit="1" customWidth="1"/>
    <col min="17" max="17" width="9.6640625" style="3" customWidth="1"/>
    <col min="18" max="18" width="10.5546875" style="2" bestFit="1" customWidth="1"/>
    <col min="19" max="19" width="9.6640625" style="3" bestFit="1" customWidth="1"/>
    <col min="20" max="20" width="11.44140625" style="2" customWidth="1"/>
    <col min="21" max="21" width="10.5546875" style="3" bestFit="1" customWidth="1"/>
    <col min="22" max="22" width="12" style="3" customWidth="1"/>
    <col min="23" max="23" width="11.6640625" style="3" customWidth="1"/>
    <col min="24" max="24" width="9.6640625" style="2" customWidth="1"/>
    <col min="25" max="25" width="9.6640625" style="3" customWidth="1"/>
    <col min="26" max="26" width="9.6640625" style="2" hidden="1" customWidth="1"/>
    <col min="27" max="27" width="9.6640625" style="3" hidden="1" customWidth="1"/>
    <col min="28" max="28" width="10.5546875" style="2" bestFit="1" customWidth="1"/>
    <col min="29" max="29" width="9.6640625" style="3" customWidth="1"/>
    <col min="30" max="30" width="11.33203125" style="3" customWidth="1"/>
    <col min="31" max="31" width="11.6640625" style="3" bestFit="1" customWidth="1"/>
    <col min="32" max="16384" width="9.109375" style="1"/>
  </cols>
  <sheetData>
    <row r="1" spans="1:31" ht="23.4" x14ac:dyDescent="0.45">
      <c r="A1" s="84" t="s">
        <v>232</v>
      </c>
      <c r="B1" s="85"/>
      <c r="C1" s="85"/>
      <c r="D1" s="85"/>
      <c r="E1" s="85"/>
      <c r="F1" s="85"/>
      <c r="G1" s="85"/>
      <c r="H1" s="88"/>
      <c r="I1" s="85"/>
      <c r="J1" s="246"/>
      <c r="K1" s="85"/>
      <c r="L1" s="85"/>
      <c r="M1" s="85"/>
      <c r="N1" s="85"/>
      <c r="O1" s="85"/>
      <c r="P1" s="88"/>
      <c r="Q1" s="85"/>
      <c r="R1" s="226"/>
      <c r="S1" s="85"/>
      <c r="T1" s="85"/>
      <c r="U1" s="85"/>
      <c r="V1" s="85"/>
      <c r="W1" s="85"/>
      <c r="X1" s="88"/>
      <c r="Y1" s="85"/>
      <c r="Z1" s="88"/>
      <c r="AA1" s="85"/>
      <c r="AB1" s="226"/>
      <c r="AC1" s="85"/>
      <c r="AD1" s="85"/>
      <c r="AE1" s="86"/>
    </row>
    <row r="2" spans="1:31" x14ac:dyDescent="0.3">
      <c r="A2" s="93"/>
      <c r="B2" s="94"/>
      <c r="C2" s="95"/>
      <c r="D2" s="96"/>
      <c r="E2" s="97"/>
      <c r="F2" s="96"/>
      <c r="G2" s="97"/>
      <c r="H2" s="96"/>
      <c r="I2" s="97"/>
      <c r="J2" s="247"/>
      <c r="K2" s="97"/>
      <c r="L2" s="96"/>
      <c r="M2" s="97"/>
      <c r="N2" s="96"/>
      <c r="O2" s="97"/>
      <c r="P2" s="96"/>
      <c r="Q2" s="97"/>
      <c r="R2" s="96"/>
      <c r="S2" s="97"/>
      <c r="T2" s="96"/>
      <c r="U2" s="97"/>
      <c r="V2" s="97"/>
      <c r="W2" s="97"/>
      <c r="X2" s="96"/>
      <c r="Y2" s="97"/>
      <c r="Z2" s="96"/>
      <c r="AA2" s="97"/>
      <c r="AB2" s="96"/>
      <c r="AC2" s="97"/>
      <c r="AD2" s="97"/>
      <c r="AE2" s="98"/>
    </row>
    <row r="3" spans="1:31" ht="15.6" x14ac:dyDescent="0.3">
      <c r="A3" s="79" t="s">
        <v>106</v>
      </c>
      <c r="B3" s="80"/>
      <c r="C3" s="80"/>
      <c r="D3" s="285" t="s">
        <v>107</v>
      </c>
      <c r="E3" s="286"/>
      <c r="F3" s="285" t="s">
        <v>109</v>
      </c>
      <c r="G3" s="286"/>
      <c r="H3" s="285" t="s">
        <v>111</v>
      </c>
      <c r="I3" s="286"/>
      <c r="J3" s="285" t="s">
        <v>89</v>
      </c>
      <c r="K3" s="286"/>
      <c r="L3" s="285" t="s">
        <v>90</v>
      </c>
      <c r="M3" s="287"/>
      <c r="N3" s="287"/>
      <c r="O3" s="286"/>
      <c r="P3" s="285" t="s">
        <v>193</v>
      </c>
      <c r="Q3" s="286"/>
      <c r="R3" s="285" t="s">
        <v>91</v>
      </c>
      <c r="S3" s="286"/>
      <c r="T3" s="285" t="s">
        <v>99</v>
      </c>
      <c r="U3" s="287"/>
      <c r="V3" s="287"/>
      <c r="W3" s="286"/>
      <c r="X3" s="285" t="s">
        <v>100</v>
      </c>
      <c r="Y3" s="286"/>
      <c r="Z3" s="285" t="s">
        <v>101</v>
      </c>
      <c r="AA3" s="286"/>
      <c r="AB3" s="285" t="s">
        <v>110</v>
      </c>
      <c r="AC3" s="286"/>
      <c r="AD3" s="285" t="s">
        <v>102</v>
      </c>
      <c r="AE3" s="286"/>
    </row>
    <row r="4" spans="1:31" ht="80.25" customHeight="1" x14ac:dyDescent="0.3">
      <c r="A4" s="4" t="s">
        <v>0</v>
      </c>
      <c r="B4" s="5" t="s">
        <v>1</v>
      </c>
      <c r="C4" s="6" t="s">
        <v>2</v>
      </c>
      <c r="D4" s="7" t="s">
        <v>231</v>
      </c>
      <c r="E4" s="8" t="s">
        <v>108</v>
      </c>
      <c r="F4" s="7" t="s">
        <v>112</v>
      </c>
      <c r="G4" s="8" t="s">
        <v>108</v>
      </c>
      <c r="H4" s="7" t="s">
        <v>142</v>
      </c>
      <c r="I4" s="8" t="s">
        <v>108</v>
      </c>
      <c r="J4" s="248" t="s">
        <v>143</v>
      </c>
      <c r="K4" s="8" t="s">
        <v>108</v>
      </c>
      <c r="L4" s="7" t="s">
        <v>112</v>
      </c>
      <c r="M4" s="8" t="s">
        <v>108</v>
      </c>
      <c r="N4" s="7" t="s">
        <v>113</v>
      </c>
      <c r="O4" s="8" t="s">
        <v>48</v>
      </c>
      <c r="P4" s="7" t="s">
        <v>194</v>
      </c>
      <c r="Q4" s="8" t="s">
        <v>108</v>
      </c>
      <c r="R4" s="7" t="s">
        <v>143</v>
      </c>
      <c r="S4" s="8" t="s">
        <v>108</v>
      </c>
      <c r="T4" s="7" t="s">
        <v>195</v>
      </c>
      <c r="U4" s="7" t="s">
        <v>114</v>
      </c>
      <c r="V4" s="7" t="s">
        <v>115</v>
      </c>
      <c r="W4" s="7" t="s">
        <v>116</v>
      </c>
      <c r="X4" s="7" t="s">
        <v>112</v>
      </c>
      <c r="Y4" s="8" t="s">
        <v>108</v>
      </c>
      <c r="Z4" s="7" t="s">
        <v>112</v>
      </c>
      <c r="AA4" s="8" t="s">
        <v>108</v>
      </c>
      <c r="AB4" s="7" t="s">
        <v>143</v>
      </c>
      <c r="AC4" s="8" t="s">
        <v>108</v>
      </c>
      <c r="AD4" s="7" t="s">
        <v>112</v>
      </c>
      <c r="AE4" s="8" t="s">
        <v>108</v>
      </c>
    </row>
    <row r="5" spans="1:31" x14ac:dyDescent="0.3">
      <c r="A5" s="9"/>
      <c r="C5" s="11"/>
      <c r="D5" s="12"/>
      <c r="E5" s="13"/>
      <c r="F5" s="12"/>
      <c r="G5" s="14"/>
      <c r="H5" s="12"/>
      <c r="I5" s="14"/>
      <c r="J5" s="249"/>
      <c r="K5" s="14"/>
      <c r="L5" s="12"/>
      <c r="M5" s="14"/>
      <c r="N5" s="12"/>
      <c r="O5" s="14"/>
      <c r="P5" s="12"/>
      <c r="Q5" s="14"/>
      <c r="R5" s="12"/>
      <c r="S5" s="14"/>
      <c r="T5" s="12"/>
      <c r="U5" s="14"/>
      <c r="V5" s="12"/>
      <c r="W5" s="14"/>
      <c r="X5" s="12"/>
      <c r="Y5" s="14"/>
      <c r="Z5" s="12"/>
      <c r="AA5" s="14"/>
      <c r="AB5" s="12"/>
      <c r="AC5" s="14"/>
      <c r="AD5" s="13"/>
      <c r="AE5" s="13"/>
    </row>
    <row r="6" spans="1:31" x14ac:dyDescent="0.3">
      <c r="A6" s="15"/>
      <c r="B6" s="10"/>
      <c r="C6" s="16" t="s">
        <v>42</v>
      </c>
      <c r="D6" s="16" t="s">
        <v>43</v>
      </c>
      <c r="E6" s="16" t="s">
        <v>43</v>
      </c>
      <c r="F6" s="82" t="s">
        <v>43</v>
      </c>
      <c r="G6" s="16" t="s">
        <v>43</v>
      </c>
      <c r="H6" s="16" t="s">
        <v>43</v>
      </c>
      <c r="I6" s="16" t="s">
        <v>43</v>
      </c>
      <c r="J6" s="250" t="s">
        <v>43</v>
      </c>
      <c r="K6" s="16" t="s">
        <v>43</v>
      </c>
      <c r="L6" s="16" t="s">
        <v>43</v>
      </c>
      <c r="M6" s="16" t="s">
        <v>43</v>
      </c>
      <c r="N6" s="16" t="s">
        <v>43</v>
      </c>
      <c r="O6" s="16" t="s">
        <v>43</v>
      </c>
      <c r="P6" s="16" t="s">
        <v>43</v>
      </c>
      <c r="Q6" s="16" t="s">
        <v>43</v>
      </c>
      <c r="R6" s="82" t="s">
        <v>43</v>
      </c>
      <c r="S6" s="16" t="s">
        <v>43</v>
      </c>
      <c r="T6" s="16" t="s">
        <v>43</v>
      </c>
      <c r="U6" s="16" t="s">
        <v>43</v>
      </c>
      <c r="V6" s="16" t="s">
        <v>43</v>
      </c>
      <c r="W6" s="16" t="s">
        <v>43</v>
      </c>
      <c r="X6" s="16" t="s">
        <v>43</v>
      </c>
      <c r="Y6" s="16" t="s">
        <v>43</v>
      </c>
      <c r="Z6" s="16" t="s">
        <v>43</v>
      </c>
      <c r="AA6" s="16" t="s">
        <v>43</v>
      </c>
      <c r="AB6" s="82" t="s">
        <v>43</v>
      </c>
      <c r="AC6" s="16" t="s">
        <v>43</v>
      </c>
      <c r="AD6" s="16" t="s">
        <v>43</v>
      </c>
      <c r="AE6" s="16" t="s">
        <v>43</v>
      </c>
    </row>
    <row r="7" spans="1:31" x14ac:dyDescent="0.3">
      <c r="A7" s="17"/>
      <c r="B7" s="18" t="s">
        <v>3</v>
      </c>
      <c r="C7" s="19"/>
      <c r="D7" s="20"/>
      <c r="E7" s="21"/>
      <c r="F7" s="20"/>
      <c r="G7" s="21"/>
      <c r="H7" s="20"/>
      <c r="I7" s="21"/>
      <c r="J7" s="251"/>
      <c r="K7" s="21"/>
      <c r="L7" s="22"/>
      <c r="M7" s="21"/>
      <c r="N7" s="22"/>
      <c r="O7" s="23"/>
      <c r="P7" s="20"/>
      <c r="Q7" s="21"/>
      <c r="R7" s="20"/>
      <c r="S7" s="21"/>
      <c r="T7" s="22"/>
      <c r="U7" s="21"/>
      <c r="V7" s="22"/>
      <c r="W7" s="21"/>
      <c r="X7" s="20"/>
      <c r="Y7" s="21"/>
      <c r="Z7" s="20"/>
      <c r="AA7" s="21"/>
      <c r="AB7" s="20"/>
      <c r="AC7" s="21"/>
      <c r="AD7" s="21"/>
      <c r="AE7" s="23"/>
    </row>
    <row r="8" spans="1:31" x14ac:dyDescent="0.3">
      <c r="A8" s="24"/>
      <c r="B8" s="25"/>
      <c r="C8" s="26"/>
      <c r="D8" s="27"/>
      <c r="E8" s="28"/>
      <c r="F8" s="27"/>
      <c r="G8" s="28"/>
      <c r="H8" s="27"/>
      <c r="I8" s="28"/>
      <c r="J8" s="252"/>
      <c r="K8" s="28"/>
      <c r="L8" s="29"/>
      <c r="M8" s="28"/>
      <c r="N8" s="29"/>
      <c r="O8" s="28"/>
      <c r="P8" s="27"/>
      <c r="Q8" s="28"/>
      <c r="R8" s="27"/>
      <c r="S8" s="28"/>
      <c r="T8" s="29"/>
      <c r="U8" s="28"/>
      <c r="V8" s="29"/>
      <c r="W8" s="28"/>
      <c r="X8" s="27"/>
      <c r="Y8" s="28"/>
      <c r="Z8" s="27"/>
      <c r="AA8" s="28"/>
      <c r="AB8" s="27"/>
      <c r="AC8" s="28"/>
      <c r="AD8" s="29"/>
      <c r="AE8" s="28"/>
    </row>
    <row r="9" spans="1:31" x14ac:dyDescent="0.3">
      <c r="A9" s="30"/>
      <c r="B9" s="31" t="s">
        <v>45</v>
      </c>
      <c r="C9" s="32"/>
      <c r="D9" s="33"/>
      <c r="E9" s="36"/>
      <c r="F9" s="87"/>
      <c r="G9" s="36"/>
      <c r="H9" s="87"/>
      <c r="I9" s="36"/>
      <c r="J9" s="253"/>
      <c r="K9" s="36"/>
      <c r="L9" s="34"/>
      <c r="M9" s="35"/>
      <c r="N9" s="87"/>
      <c r="O9" s="35"/>
      <c r="P9" s="87"/>
      <c r="Q9" s="36"/>
      <c r="R9" s="33"/>
      <c r="S9" s="35"/>
      <c r="T9" s="87"/>
      <c r="U9" s="36"/>
      <c r="V9" s="87"/>
      <c r="W9" s="36"/>
      <c r="X9" s="87"/>
      <c r="Y9" s="36"/>
      <c r="Z9" s="87"/>
      <c r="AA9" s="36"/>
      <c r="AB9" s="87"/>
      <c r="AC9" s="36"/>
      <c r="AD9" s="34"/>
      <c r="AE9" s="36"/>
    </row>
    <row r="10" spans="1:31" x14ac:dyDescent="0.3">
      <c r="A10" s="236">
        <v>107</v>
      </c>
      <c r="B10" s="145" t="s">
        <v>5</v>
      </c>
      <c r="C10" s="146">
        <v>33</v>
      </c>
      <c r="D10" s="87">
        <f t="shared" ref="D10:D32" si="0">ROUND(E10*C10,1)</f>
        <v>1951</v>
      </c>
      <c r="E10" s="81">
        <f>RCF!$C$47</f>
        <v>59.121481687424989</v>
      </c>
      <c r="F10" s="147">
        <v>986.1</v>
      </c>
      <c r="G10" s="81">
        <f>F10/C10</f>
        <v>29.881818181818183</v>
      </c>
      <c r="H10" s="87">
        <v>1026.7</v>
      </c>
      <c r="I10" s="36">
        <f t="shared" ref="I10:I20" si="1">H10/C10</f>
        <v>31.112121212121213</v>
      </c>
      <c r="J10" s="254">
        <v>1032.4000000000001</v>
      </c>
      <c r="K10" s="81">
        <f t="shared" ref="K10:K17" si="2">J10/C10</f>
        <v>31.284848484848489</v>
      </c>
      <c r="L10" s="147">
        <v>932.3</v>
      </c>
      <c r="M10" s="36">
        <f t="shared" ref="M10:M20" si="3">L10/C10</f>
        <v>28.25151515151515</v>
      </c>
      <c r="N10" s="87">
        <v>991</v>
      </c>
      <c r="O10" s="36">
        <f t="shared" ref="O10:O20" si="4">N10/C10</f>
        <v>30.030303030303031</v>
      </c>
      <c r="P10" s="147">
        <v>1056.4000000000001</v>
      </c>
      <c r="Q10" s="36">
        <f>P10/C10</f>
        <v>32.012121212121215</v>
      </c>
      <c r="R10" s="87">
        <v>1019.8</v>
      </c>
      <c r="S10" s="36">
        <f>R10/C10</f>
        <v>30.903030303030302</v>
      </c>
      <c r="T10" s="147">
        <v>936</v>
      </c>
      <c r="U10" s="36">
        <f>T10/$C10</f>
        <v>28.363636363636363</v>
      </c>
      <c r="V10" s="147">
        <v>1046.4000000000001</v>
      </c>
      <c r="W10" s="36">
        <f>V10/$C10</f>
        <v>31.709090909090911</v>
      </c>
      <c r="X10" s="87">
        <v>1072.7</v>
      </c>
      <c r="Y10" s="36">
        <f>X10/C10</f>
        <v>32.506060606060608</v>
      </c>
      <c r="Z10" s="87"/>
      <c r="AA10" s="36">
        <f t="shared" ref="AA10:AA20" si="5">Z10/C10</f>
        <v>0</v>
      </c>
      <c r="AB10" s="147">
        <v>1045.8</v>
      </c>
      <c r="AC10" s="36">
        <f t="shared" ref="AC10:AC17" si="6">AB10/C10</f>
        <v>31.690909090909088</v>
      </c>
      <c r="AD10" s="148">
        <f t="shared" ref="AD10:AD24" si="7">ROUND(AE10*C10,1)</f>
        <v>1161.2</v>
      </c>
      <c r="AE10" s="81">
        <f>RCF!J$41</f>
        <v>35.186999999999998</v>
      </c>
    </row>
    <row r="11" spans="1:31" x14ac:dyDescent="0.3">
      <c r="A11" s="236">
        <v>109</v>
      </c>
      <c r="B11" s="145" t="s">
        <v>6</v>
      </c>
      <c r="C11" s="146">
        <v>15</v>
      </c>
      <c r="D11" s="87">
        <f t="shared" si="0"/>
        <v>886.8</v>
      </c>
      <c r="E11" s="81">
        <f>RCF!$C$47</f>
        <v>59.121481687424989</v>
      </c>
      <c r="F11" s="147">
        <v>448.2</v>
      </c>
      <c r="G11" s="81">
        <f t="shared" ref="G11:G20" si="8">F11/C11</f>
        <v>29.88</v>
      </c>
      <c r="H11" s="87">
        <v>466.7</v>
      </c>
      <c r="I11" s="36">
        <f t="shared" si="1"/>
        <v>31.113333333333333</v>
      </c>
      <c r="J11" s="254">
        <v>469.1</v>
      </c>
      <c r="K11" s="81">
        <f t="shared" si="2"/>
        <v>31.273333333333333</v>
      </c>
      <c r="L11" s="147">
        <v>303.60000000000002</v>
      </c>
      <c r="M11" s="36">
        <f t="shared" si="3"/>
        <v>20.240000000000002</v>
      </c>
      <c r="N11" s="87">
        <v>322.89999999999998</v>
      </c>
      <c r="O11" s="36">
        <f t="shared" si="4"/>
        <v>21.526666666666664</v>
      </c>
      <c r="P11" s="147">
        <v>480.2</v>
      </c>
      <c r="Q11" s="36">
        <f t="shared" ref="Q11:Q32" si="9">P11/C11</f>
        <v>32.013333333333335</v>
      </c>
      <c r="R11" s="87">
        <v>463.4</v>
      </c>
      <c r="S11" s="36">
        <f t="shared" ref="S11:S30" si="10">R11/C11</f>
        <v>30.893333333333331</v>
      </c>
      <c r="T11" s="147">
        <v>425.8</v>
      </c>
      <c r="U11" s="36">
        <f t="shared" ref="U11:W32" si="11">T11/$C11</f>
        <v>28.386666666666667</v>
      </c>
      <c r="V11" s="147">
        <v>475.5</v>
      </c>
      <c r="W11" s="36">
        <f t="shared" si="11"/>
        <v>31.7</v>
      </c>
      <c r="X11" s="87">
        <v>546.6</v>
      </c>
      <c r="Y11" s="36">
        <f t="shared" ref="Y11:Y32" si="12">X11/C11</f>
        <v>36.440000000000005</v>
      </c>
      <c r="Z11" s="87"/>
      <c r="AA11" s="36">
        <f t="shared" si="5"/>
        <v>0</v>
      </c>
      <c r="AB11" s="147">
        <v>475.2</v>
      </c>
      <c r="AC11" s="36">
        <f t="shared" si="6"/>
        <v>31.68</v>
      </c>
      <c r="AD11" s="148">
        <f t="shared" si="7"/>
        <v>527.79999999999995</v>
      </c>
      <c r="AE11" s="81">
        <f>RCF!J$41</f>
        <v>35.186999999999998</v>
      </c>
    </row>
    <row r="12" spans="1:31" x14ac:dyDescent="0.3">
      <c r="A12" s="236">
        <v>113</v>
      </c>
      <c r="B12" s="145" t="s">
        <v>57</v>
      </c>
      <c r="C12" s="146">
        <v>45</v>
      </c>
      <c r="D12" s="87">
        <f t="shared" si="0"/>
        <v>2660.5</v>
      </c>
      <c r="E12" s="81">
        <f>RCF!$C$47</f>
        <v>59.121481687424989</v>
      </c>
      <c r="F12" s="147">
        <v>1344.5</v>
      </c>
      <c r="G12" s="81">
        <f t="shared" si="8"/>
        <v>29.877777777777776</v>
      </c>
      <c r="H12" s="87">
        <v>1400.5</v>
      </c>
      <c r="I12" s="36">
        <f t="shared" si="1"/>
        <v>31.122222222222224</v>
      </c>
      <c r="J12" s="254">
        <v>1407.7</v>
      </c>
      <c r="K12" s="81">
        <f t="shared" si="2"/>
        <v>31.282222222222224</v>
      </c>
      <c r="L12" s="147">
        <v>1271.4000000000001</v>
      </c>
      <c r="M12" s="36">
        <f t="shared" si="3"/>
        <v>28.253333333333334</v>
      </c>
      <c r="N12" s="87">
        <v>1351.6</v>
      </c>
      <c r="O12" s="36">
        <f t="shared" si="4"/>
        <v>30.035555555555554</v>
      </c>
      <c r="P12" s="147">
        <v>1440.5</v>
      </c>
      <c r="Q12" s="36">
        <f t="shared" si="9"/>
        <v>32.011111111111113</v>
      </c>
      <c r="R12" s="143">
        <v>1390.8</v>
      </c>
      <c r="S12" s="36">
        <f t="shared" si="10"/>
        <v>30.906666666666666</v>
      </c>
      <c r="T12" s="147">
        <v>1277.3</v>
      </c>
      <c r="U12" s="36">
        <f t="shared" si="11"/>
        <v>28.384444444444444</v>
      </c>
      <c r="V12" s="147">
        <v>1427.1</v>
      </c>
      <c r="W12" s="36">
        <f t="shared" si="11"/>
        <v>31.713333333333331</v>
      </c>
      <c r="X12" s="87">
        <v>1462.1</v>
      </c>
      <c r="Y12" s="36">
        <f t="shared" si="12"/>
        <v>32.49111111111111</v>
      </c>
      <c r="Z12" s="87"/>
      <c r="AA12" s="36">
        <f t="shared" si="5"/>
        <v>0</v>
      </c>
      <c r="AB12" s="147">
        <v>1426</v>
      </c>
      <c r="AC12" s="36">
        <f t="shared" si="6"/>
        <v>31.68888888888889</v>
      </c>
      <c r="AD12" s="148">
        <f t="shared" si="7"/>
        <v>1583.4</v>
      </c>
      <c r="AE12" s="81">
        <f>RCF!J$41</f>
        <v>35.186999999999998</v>
      </c>
    </row>
    <row r="13" spans="1:31" ht="27.6" x14ac:dyDescent="0.3">
      <c r="A13" s="236">
        <v>129</v>
      </c>
      <c r="B13" s="145" t="s">
        <v>40</v>
      </c>
      <c r="C13" s="146">
        <v>15</v>
      </c>
      <c r="D13" s="87">
        <f t="shared" si="0"/>
        <v>886.8</v>
      </c>
      <c r="E13" s="81">
        <f>RCF!$C$47</f>
        <v>59.121481687424989</v>
      </c>
      <c r="F13" s="147">
        <v>448.2</v>
      </c>
      <c r="G13" s="81">
        <f t="shared" si="8"/>
        <v>29.88</v>
      </c>
      <c r="H13" s="87">
        <v>466.7</v>
      </c>
      <c r="I13" s="36">
        <f t="shared" si="1"/>
        <v>31.113333333333333</v>
      </c>
      <c r="J13" s="254">
        <v>469.1</v>
      </c>
      <c r="K13" s="81">
        <f t="shared" si="2"/>
        <v>31.273333333333333</v>
      </c>
      <c r="L13" s="147">
        <v>423.7</v>
      </c>
      <c r="M13" s="36">
        <f t="shared" si="3"/>
        <v>28.246666666666666</v>
      </c>
      <c r="N13" s="87">
        <v>450.4</v>
      </c>
      <c r="O13" s="36">
        <f t="shared" si="4"/>
        <v>30.026666666666664</v>
      </c>
      <c r="P13" s="147">
        <v>480.2</v>
      </c>
      <c r="Q13" s="36">
        <f t="shared" si="9"/>
        <v>32.013333333333335</v>
      </c>
      <c r="R13" s="87">
        <v>463.4</v>
      </c>
      <c r="S13" s="36">
        <f t="shared" si="10"/>
        <v>30.893333333333331</v>
      </c>
      <c r="T13" s="147">
        <v>425.8</v>
      </c>
      <c r="U13" s="36">
        <f t="shared" si="11"/>
        <v>28.386666666666667</v>
      </c>
      <c r="V13" s="147">
        <v>475.5</v>
      </c>
      <c r="W13" s="36">
        <f t="shared" si="11"/>
        <v>31.7</v>
      </c>
      <c r="X13" s="87">
        <v>546.6</v>
      </c>
      <c r="Y13" s="36">
        <f t="shared" si="12"/>
        <v>36.440000000000005</v>
      </c>
      <c r="Z13" s="87"/>
      <c r="AA13" s="36">
        <f t="shared" si="5"/>
        <v>0</v>
      </c>
      <c r="AB13" s="147">
        <v>533.1</v>
      </c>
      <c r="AC13" s="36">
        <f t="shared" si="6"/>
        <v>35.54</v>
      </c>
      <c r="AD13" s="148">
        <f t="shared" si="7"/>
        <v>527.79999999999995</v>
      </c>
      <c r="AE13" s="81">
        <f>RCF!J$41</f>
        <v>35.186999999999998</v>
      </c>
    </row>
    <row r="14" spans="1:31" x14ac:dyDescent="0.3">
      <c r="A14" s="236">
        <v>130</v>
      </c>
      <c r="B14" s="145" t="s">
        <v>144</v>
      </c>
      <c r="C14" s="146">
        <v>12</v>
      </c>
      <c r="D14" s="87">
        <f t="shared" si="0"/>
        <v>709.5</v>
      </c>
      <c r="E14" s="81">
        <f>RCF!$C$47</f>
        <v>59.121481687424989</v>
      </c>
      <c r="F14" s="147">
        <v>251.4</v>
      </c>
      <c r="G14" s="81">
        <f t="shared" si="8"/>
        <v>20.95</v>
      </c>
      <c r="H14" s="87">
        <v>379.1</v>
      </c>
      <c r="I14" s="36">
        <f t="shared" si="1"/>
        <v>31.591666666666669</v>
      </c>
      <c r="J14" s="254">
        <v>375.5</v>
      </c>
      <c r="K14" s="81">
        <f t="shared" si="2"/>
        <v>31.291666666666668</v>
      </c>
      <c r="L14" s="147">
        <v>262</v>
      </c>
      <c r="M14" s="36">
        <f t="shared" si="3"/>
        <v>21.833333333333332</v>
      </c>
      <c r="N14" s="87">
        <v>278.3</v>
      </c>
      <c r="O14" s="36">
        <f t="shared" si="4"/>
        <v>23.191666666666666</v>
      </c>
      <c r="P14" s="147">
        <v>0</v>
      </c>
      <c r="Q14" s="36">
        <f t="shared" si="9"/>
        <v>0</v>
      </c>
      <c r="R14" s="143">
        <v>371.2</v>
      </c>
      <c r="S14" s="36">
        <f t="shared" si="10"/>
        <v>30.933333333333334</v>
      </c>
      <c r="T14" s="147">
        <v>340.3</v>
      </c>
      <c r="U14" s="36">
        <f t="shared" si="11"/>
        <v>28.358333333333334</v>
      </c>
      <c r="V14" s="147">
        <v>380.5</v>
      </c>
      <c r="W14" s="36">
        <f t="shared" si="11"/>
        <v>31.708333333333332</v>
      </c>
      <c r="X14" s="87">
        <v>390.4</v>
      </c>
      <c r="Y14" s="36">
        <f t="shared" si="12"/>
        <v>32.533333333333331</v>
      </c>
      <c r="Z14" s="87"/>
      <c r="AA14" s="36">
        <f t="shared" si="5"/>
        <v>0</v>
      </c>
      <c r="AB14" s="147">
        <v>380.4</v>
      </c>
      <c r="AC14" s="36">
        <f t="shared" si="6"/>
        <v>31.7</v>
      </c>
      <c r="AD14" s="148">
        <f t="shared" si="7"/>
        <v>422.2</v>
      </c>
      <c r="AE14" s="81">
        <f>RCF!J$41</f>
        <v>35.186999999999998</v>
      </c>
    </row>
    <row r="15" spans="1:31" x14ac:dyDescent="0.3">
      <c r="A15" s="236">
        <v>132</v>
      </c>
      <c r="B15" s="145" t="s">
        <v>53</v>
      </c>
      <c r="C15" s="146">
        <v>5</v>
      </c>
      <c r="D15" s="87">
        <f t="shared" si="0"/>
        <v>295.60000000000002</v>
      </c>
      <c r="E15" s="81">
        <f>RCF!$C$47</f>
        <v>59.121481687424989</v>
      </c>
      <c r="F15" s="147">
        <v>167.5</v>
      </c>
      <c r="G15" s="81">
        <f t="shared" si="8"/>
        <v>33.5</v>
      </c>
      <c r="H15" s="87">
        <v>157.9</v>
      </c>
      <c r="I15" s="36">
        <f t="shared" si="1"/>
        <v>31.580000000000002</v>
      </c>
      <c r="J15" s="254">
        <v>156.9</v>
      </c>
      <c r="K15" s="81">
        <f t="shared" si="2"/>
        <v>31.380000000000003</v>
      </c>
      <c r="L15" s="147">
        <v>141.1</v>
      </c>
      <c r="M15" s="36">
        <f t="shared" si="3"/>
        <v>28.22</v>
      </c>
      <c r="N15" s="87">
        <v>149.80000000000001</v>
      </c>
      <c r="O15" s="36">
        <f t="shared" si="4"/>
        <v>29.96</v>
      </c>
      <c r="P15" s="147">
        <v>160.1</v>
      </c>
      <c r="Q15" s="36">
        <f t="shared" si="9"/>
        <v>32.019999999999996</v>
      </c>
      <c r="R15" s="87">
        <v>154.9</v>
      </c>
      <c r="S15" s="36">
        <f t="shared" si="10"/>
        <v>30.98</v>
      </c>
      <c r="T15" s="147">
        <v>158.9</v>
      </c>
      <c r="U15" s="36">
        <f t="shared" si="11"/>
        <v>31.78</v>
      </c>
      <c r="V15" s="147">
        <v>158.6</v>
      </c>
      <c r="W15" s="36">
        <f t="shared" si="11"/>
        <v>31.72</v>
      </c>
      <c r="X15" s="87">
        <v>162.69999999999999</v>
      </c>
      <c r="Y15" s="36">
        <f t="shared" si="12"/>
        <v>32.54</v>
      </c>
      <c r="Z15" s="87"/>
      <c r="AA15" s="36">
        <f t="shared" si="5"/>
        <v>0</v>
      </c>
      <c r="AB15" s="273">
        <v>177.8</v>
      </c>
      <c r="AC15" s="36">
        <f t="shared" si="6"/>
        <v>35.56</v>
      </c>
      <c r="AD15" s="148">
        <f t="shared" si="7"/>
        <v>175.9</v>
      </c>
      <c r="AE15" s="81">
        <f>RCF!J$41</f>
        <v>35.186999999999998</v>
      </c>
    </row>
    <row r="16" spans="1:31" x14ac:dyDescent="0.3">
      <c r="A16" s="236">
        <v>133</v>
      </c>
      <c r="B16" s="145" t="s">
        <v>54</v>
      </c>
      <c r="C16" s="146">
        <v>9</v>
      </c>
      <c r="D16" s="87">
        <f t="shared" si="0"/>
        <v>532.1</v>
      </c>
      <c r="E16" s="81">
        <f>RCF!$C$47</f>
        <v>59.121481687424989</v>
      </c>
      <c r="F16" s="147">
        <v>268.89999999999998</v>
      </c>
      <c r="G16" s="81">
        <f t="shared" si="8"/>
        <v>29.877777777777776</v>
      </c>
      <c r="H16" s="87">
        <v>284.60000000000002</v>
      </c>
      <c r="I16" s="36">
        <f t="shared" si="1"/>
        <v>31.622222222222224</v>
      </c>
      <c r="J16" s="254">
        <v>281.3</v>
      </c>
      <c r="K16" s="81">
        <f t="shared" si="2"/>
        <v>31.255555555555556</v>
      </c>
      <c r="L16" s="147">
        <v>254</v>
      </c>
      <c r="M16" s="36">
        <f t="shared" si="3"/>
        <v>28.222222222222221</v>
      </c>
      <c r="N16" s="87">
        <v>269.8</v>
      </c>
      <c r="O16" s="36">
        <f t="shared" si="4"/>
        <v>29.977777777777778</v>
      </c>
      <c r="P16" s="147">
        <v>288.10000000000002</v>
      </c>
      <c r="Q16" s="36">
        <f t="shared" si="9"/>
        <v>32.011111111111113</v>
      </c>
      <c r="R16" s="87">
        <v>277.89999999999998</v>
      </c>
      <c r="S16" s="36">
        <f t="shared" si="10"/>
        <v>30.877777777777776</v>
      </c>
      <c r="T16" s="147">
        <v>255.3</v>
      </c>
      <c r="U16" s="36">
        <f t="shared" si="11"/>
        <v>28.366666666666667</v>
      </c>
      <c r="V16" s="147">
        <v>285.10000000000002</v>
      </c>
      <c r="W16" s="36">
        <f t="shared" si="11"/>
        <v>31.677777777777781</v>
      </c>
      <c r="X16" s="87">
        <v>292.39999999999998</v>
      </c>
      <c r="Y16" s="36">
        <f t="shared" si="12"/>
        <v>32.488888888888887</v>
      </c>
      <c r="Z16" s="87"/>
      <c r="AA16" s="36">
        <f t="shared" si="5"/>
        <v>0</v>
      </c>
      <c r="AB16" s="273">
        <v>285.5</v>
      </c>
      <c r="AC16" s="36">
        <f t="shared" si="6"/>
        <v>31.722222222222221</v>
      </c>
      <c r="AD16" s="148">
        <f t="shared" si="7"/>
        <v>316.7</v>
      </c>
      <c r="AE16" s="81">
        <f>RCF!J$41</f>
        <v>35.186999999999998</v>
      </c>
    </row>
    <row r="17" spans="1:32" x14ac:dyDescent="0.3">
      <c r="A17" s="237">
        <v>126</v>
      </c>
      <c r="B17" s="140" t="s">
        <v>136</v>
      </c>
      <c r="C17" s="141">
        <v>8</v>
      </c>
      <c r="D17" s="87">
        <f t="shared" ref="D17" si="13">ROUND(E17*C17,1)</f>
        <v>473</v>
      </c>
      <c r="E17" s="81">
        <f>RCF!$C$47</f>
        <v>59.121481687424989</v>
      </c>
      <c r="F17" s="149"/>
      <c r="G17" s="81">
        <f t="shared" ref="G17" si="14">F17/C17</f>
        <v>0</v>
      </c>
      <c r="H17" s="137">
        <f>H19</f>
        <v>248.8</v>
      </c>
      <c r="I17" s="36">
        <f t="shared" ref="I17" si="15">H17/C17</f>
        <v>31.1</v>
      </c>
      <c r="J17" s="255">
        <v>280.5</v>
      </c>
      <c r="K17" s="81">
        <f t="shared" si="2"/>
        <v>35.0625</v>
      </c>
      <c r="L17" s="149">
        <f>L19</f>
        <v>226.2</v>
      </c>
      <c r="M17" s="36">
        <f t="shared" ref="M17" si="16">L17/C17</f>
        <v>28.274999999999999</v>
      </c>
      <c r="N17" s="137">
        <f>N19</f>
        <v>240.3</v>
      </c>
      <c r="O17" s="150">
        <f t="shared" ref="O17" si="17">N17/C17</f>
        <v>30.037500000000001</v>
      </c>
      <c r="P17" s="147">
        <f>P19</f>
        <v>256.10000000000002</v>
      </c>
      <c r="Q17" s="36">
        <f t="shared" si="9"/>
        <v>32.012500000000003</v>
      </c>
      <c r="R17" s="137">
        <f>R19</f>
        <v>247.1</v>
      </c>
      <c r="S17" s="150">
        <f t="shared" ref="S17" si="18">R17/C17</f>
        <v>30.887499999999999</v>
      </c>
      <c r="T17" s="149">
        <f>T19</f>
        <v>227.1</v>
      </c>
      <c r="U17" s="150">
        <f t="shared" ref="U17" si="19">T17/$C17</f>
        <v>28.387499999999999</v>
      </c>
      <c r="V17" s="149">
        <f>V19</f>
        <v>253.5</v>
      </c>
      <c r="W17" s="150">
        <f t="shared" ref="W17" si="20">V17/$C17</f>
        <v>31.6875</v>
      </c>
      <c r="X17" s="87">
        <f>X19</f>
        <v>291.60000000000002</v>
      </c>
      <c r="Y17" s="36">
        <f t="shared" si="12"/>
        <v>36.450000000000003</v>
      </c>
      <c r="Z17" s="137">
        <f>Z19</f>
        <v>0</v>
      </c>
      <c r="AA17" s="36">
        <f t="shared" si="5"/>
        <v>0</v>
      </c>
      <c r="AB17" s="149">
        <f>AB19</f>
        <v>253.4</v>
      </c>
      <c r="AC17" s="36">
        <f t="shared" si="6"/>
        <v>31.675000000000001</v>
      </c>
      <c r="AD17" s="148">
        <f t="shared" si="7"/>
        <v>281.5</v>
      </c>
      <c r="AE17" s="81">
        <f>RCF!J$41</f>
        <v>35.186999999999998</v>
      </c>
    </row>
    <row r="18" spans="1:32" x14ac:dyDescent="0.3">
      <c r="A18" s="238">
        <v>145</v>
      </c>
      <c r="B18" s="142" t="s">
        <v>137</v>
      </c>
      <c r="C18" s="143">
        <v>6</v>
      </c>
      <c r="D18" s="87">
        <f t="shared" si="0"/>
        <v>354.7</v>
      </c>
      <c r="E18" s="81">
        <f>RCF!$C$47</f>
        <v>59.121481687424989</v>
      </c>
      <c r="F18" s="147">
        <v>179.4</v>
      </c>
      <c r="G18" s="81">
        <f t="shared" si="8"/>
        <v>29.900000000000002</v>
      </c>
      <c r="H18" s="87">
        <v>187</v>
      </c>
      <c r="I18" s="36">
        <f t="shared" si="1"/>
        <v>31.166666666666668</v>
      </c>
      <c r="J18" s="256">
        <f>ROUNDDOWN(C18*K18,1)</f>
        <v>187.6</v>
      </c>
      <c r="K18" s="151">
        <f t="shared" ref="K18:K20" si="21">K$11</f>
        <v>31.273333333333333</v>
      </c>
      <c r="L18" s="147">
        <v>169.6</v>
      </c>
      <c r="M18" s="36">
        <f t="shared" si="3"/>
        <v>28.266666666666666</v>
      </c>
      <c r="N18" s="87">
        <v>180.3</v>
      </c>
      <c r="O18" s="36">
        <f t="shared" si="4"/>
        <v>30.05</v>
      </c>
      <c r="P18" s="147">
        <v>192.1</v>
      </c>
      <c r="Q18" s="36">
        <f t="shared" si="9"/>
        <v>32.016666666666666</v>
      </c>
      <c r="R18" s="148">
        <f>ROUNDDOWN(C18*S18,1)</f>
        <v>185.3</v>
      </c>
      <c r="S18" s="152">
        <f t="shared" ref="S18:S20" si="22">S$11</f>
        <v>30.893333333333331</v>
      </c>
      <c r="T18" s="147">
        <v>170.3</v>
      </c>
      <c r="U18" s="36">
        <f t="shared" si="11"/>
        <v>28.383333333333336</v>
      </c>
      <c r="V18" s="147">
        <v>190.2</v>
      </c>
      <c r="W18" s="36">
        <f t="shared" si="11"/>
        <v>31.7</v>
      </c>
      <c r="X18" s="87">
        <v>218.6</v>
      </c>
      <c r="Y18" s="36">
        <f t="shared" si="12"/>
        <v>36.43333333333333</v>
      </c>
      <c r="Z18" s="87"/>
      <c r="AA18" s="36">
        <f t="shared" si="5"/>
        <v>0</v>
      </c>
      <c r="AB18" s="227">
        <f>ROUNDDOWN(C18*AC18,1)</f>
        <v>190</v>
      </c>
      <c r="AC18" s="152">
        <f>AC$11</f>
        <v>31.68</v>
      </c>
      <c r="AD18" s="148">
        <f t="shared" si="7"/>
        <v>211.1</v>
      </c>
      <c r="AE18" s="81">
        <f>RCF!J$41</f>
        <v>35.186999999999998</v>
      </c>
    </row>
    <row r="19" spans="1:32" x14ac:dyDescent="0.3">
      <c r="A19" s="238">
        <v>146</v>
      </c>
      <c r="B19" s="142" t="s">
        <v>138</v>
      </c>
      <c r="C19" s="143">
        <v>8</v>
      </c>
      <c r="D19" s="87">
        <f t="shared" si="0"/>
        <v>473</v>
      </c>
      <c r="E19" s="81">
        <f>RCF!$C$47</f>
        <v>59.121481687424989</v>
      </c>
      <c r="F19" s="147">
        <v>239</v>
      </c>
      <c r="G19" s="81">
        <f t="shared" si="8"/>
        <v>29.875</v>
      </c>
      <c r="H19" s="87">
        <v>248.8</v>
      </c>
      <c r="I19" s="36">
        <f t="shared" si="1"/>
        <v>31.1</v>
      </c>
      <c r="J19" s="256">
        <f>ROUNDDOWN(C19*K19,1)</f>
        <v>250.1</v>
      </c>
      <c r="K19" s="151">
        <f t="shared" si="21"/>
        <v>31.273333333333333</v>
      </c>
      <c r="L19" s="147">
        <v>226.2</v>
      </c>
      <c r="M19" s="36">
        <f t="shared" si="3"/>
        <v>28.274999999999999</v>
      </c>
      <c r="N19" s="87">
        <v>240.3</v>
      </c>
      <c r="O19" s="36">
        <f t="shared" si="4"/>
        <v>30.037500000000001</v>
      </c>
      <c r="P19" s="147">
        <v>256.10000000000002</v>
      </c>
      <c r="Q19" s="36">
        <f t="shared" si="9"/>
        <v>32.012500000000003</v>
      </c>
      <c r="R19" s="148">
        <f>ROUNDDOWN(C19*S19,1)</f>
        <v>247.1</v>
      </c>
      <c r="S19" s="152">
        <f t="shared" si="22"/>
        <v>30.893333333333331</v>
      </c>
      <c r="T19" s="147">
        <v>227.1</v>
      </c>
      <c r="U19" s="36">
        <f t="shared" si="11"/>
        <v>28.387499999999999</v>
      </c>
      <c r="V19" s="147">
        <v>253.5</v>
      </c>
      <c r="W19" s="36">
        <f t="shared" si="11"/>
        <v>31.6875</v>
      </c>
      <c r="X19" s="87">
        <v>291.60000000000002</v>
      </c>
      <c r="Y19" s="36">
        <f t="shared" si="12"/>
        <v>36.450000000000003</v>
      </c>
      <c r="Z19" s="87"/>
      <c r="AA19" s="36">
        <f t="shared" si="5"/>
        <v>0</v>
      </c>
      <c r="AB19" s="227">
        <f>ROUNDDOWN(C19*AC19,1)</f>
        <v>253.4</v>
      </c>
      <c r="AC19" s="152">
        <f>AC$11</f>
        <v>31.68</v>
      </c>
      <c r="AD19" s="148">
        <f t="shared" si="7"/>
        <v>281.5</v>
      </c>
      <c r="AE19" s="81">
        <f>RCF!J$41</f>
        <v>35.186999999999998</v>
      </c>
    </row>
    <row r="20" spans="1:32" x14ac:dyDescent="0.3">
      <c r="A20" s="238">
        <v>147</v>
      </c>
      <c r="B20" s="142" t="s">
        <v>139</v>
      </c>
      <c r="C20" s="143">
        <v>14</v>
      </c>
      <c r="D20" s="87">
        <f t="shared" si="0"/>
        <v>827.7</v>
      </c>
      <c r="E20" s="81">
        <f>RCF!$C$47</f>
        <v>59.121481687424989</v>
      </c>
      <c r="F20" s="147">
        <v>418.1</v>
      </c>
      <c r="G20" s="81">
        <f t="shared" si="8"/>
        <v>29.864285714285717</v>
      </c>
      <c r="H20" s="87">
        <v>435.8</v>
      </c>
      <c r="I20" s="36">
        <f t="shared" si="1"/>
        <v>31.12857142857143</v>
      </c>
      <c r="J20" s="256">
        <f>ROUNDDOWN(C20*K20,1)</f>
        <v>437.8</v>
      </c>
      <c r="K20" s="151">
        <f t="shared" si="21"/>
        <v>31.273333333333333</v>
      </c>
      <c r="L20" s="147">
        <v>395.9</v>
      </c>
      <c r="M20" s="36">
        <f t="shared" si="3"/>
        <v>28.278571428571428</v>
      </c>
      <c r="N20" s="87">
        <v>420.9</v>
      </c>
      <c r="O20" s="36">
        <f t="shared" si="4"/>
        <v>30.064285714285713</v>
      </c>
      <c r="P20" s="147">
        <v>448.2</v>
      </c>
      <c r="Q20" s="36">
        <f t="shared" si="9"/>
        <v>32.014285714285712</v>
      </c>
      <c r="R20" s="148">
        <f>ROUNDDOWN(C20*S20,1)</f>
        <v>432.5</v>
      </c>
      <c r="S20" s="152">
        <f t="shared" si="22"/>
        <v>30.893333333333331</v>
      </c>
      <c r="T20" s="147">
        <v>397.3</v>
      </c>
      <c r="U20" s="36">
        <f t="shared" si="11"/>
        <v>28.37857142857143</v>
      </c>
      <c r="V20" s="147">
        <v>443.7</v>
      </c>
      <c r="W20" s="36">
        <f t="shared" si="11"/>
        <v>31.692857142857143</v>
      </c>
      <c r="X20" s="87">
        <v>509.9</v>
      </c>
      <c r="Y20" s="36">
        <f t="shared" si="12"/>
        <v>36.421428571428571</v>
      </c>
      <c r="Z20" s="87"/>
      <c r="AA20" s="36">
        <f t="shared" si="5"/>
        <v>0</v>
      </c>
      <c r="AB20" s="227">
        <f>ROUNDDOWN(C20*AC20,1)</f>
        <v>443.5</v>
      </c>
      <c r="AC20" s="152">
        <f>AC$11</f>
        <v>31.68</v>
      </c>
      <c r="AD20" s="148">
        <f t="shared" si="7"/>
        <v>492.6</v>
      </c>
      <c r="AE20" s="81">
        <f>RCF!J$41</f>
        <v>35.186999999999998</v>
      </c>
    </row>
    <row r="21" spans="1:32" ht="27.6" x14ac:dyDescent="0.3">
      <c r="A21" s="236">
        <v>148</v>
      </c>
      <c r="B21" s="145" t="s">
        <v>55</v>
      </c>
      <c r="C21" s="146"/>
      <c r="D21" s="87">
        <f t="shared" si="0"/>
        <v>0</v>
      </c>
      <c r="E21" s="36">
        <v>0</v>
      </c>
      <c r="F21" s="147">
        <v>0</v>
      </c>
      <c r="G21" s="81">
        <v>0</v>
      </c>
      <c r="H21" s="87">
        <v>261.39999999999998</v>
      </c>
      <c r="I21" s="36">
        <v>0</v>
      </c>
      <c r="J21" s="254">
        <v>0</v>
      </c>
      <c r="K21" s="81"/>
      <c r="L21" s="147">
        <v>233.1</v>
      </c>
      <c r="M21" s="36"/>
      <c r="N21" s="87">
        <v>0</v>
      </c>
      <c r="O21" s="36">
        <v>0</v>
      </c>
      <c r="P21" s="147">
        <v>1781.3</v>
      </c>
      <c r="Q21" s="36">
        <v>0</v>
      </c>
      <c r="R21" s="87">
        <v>0</v>
      </c>
      <c r="S21" s="36"/>
      <c r="T21" s="147">
        <v>0</v>
      </c>
      <c r="U21" s="36">
        <v>0</v>
      </c>
      <c r="V21" s="147">
        <v>0</v>
      </c>
      <c r="W21" s="36">
        <v>0</v>
      </c>
      <c r="X21" s="87">
        <v>0</v>
      </c>
      <c r="Y21" s="36">
        <v>0</v>
      </c>
      <c r="Z21" s="87">
        <v>0</v>
      </c>
      <c r="AA21" s="36">
        <v>0</v>
      </c>
      <c r="AB21" s="147">
        <v>0</v>
      </c>
      <c r="AC21" s="36">
        <v>0</v>
      </c>
      <c r="AD21" s="148">
        <f t="shared" si="7"/>
        <v>0</v>
      </c>
      <c r="AE21" s="36">
        <v>0</v>
      </c>
    </row>
    <row r="22" spans="1:32" x14ac:dyDescent="0.3">
      <c r="A22" s="236">
        <v>149</v>
      </c>
      <c r="B22" s="145" t="s">
        <v>56</v>
      </c>
      <c r="C22" s="146"/>
      <c r="D22" s="87">
        <f t="shared" si="0"/>
        <v>0</v>
      </c>
      <c r="E22" s="36">
        <v>0</v>
      </c>
      <c r="F22" s="147">
        <v>0</v>
      </c>
      <c r="G22" s="81">
        <v>0</v>
      </c>
      <c r="H22" s="87">
        <v>0</v>
      </c>
      <c r="I22" s="36">
        <v>0</v>
      </c>
      <c r="J22" s="275"/>
      <c r="K22" s="81"/>
      <c r="L22" s="147">
        <v>0</v>
      </c>
      <c r="M22" s="36"/>
      <c r="N22" s="87">
        <v>0</v>
      </c>
      <c r="O22" s="36">
        <v>0</v>
      </c>
      <c r="P22" s="147">
        <v>0</v>
      </c>
      <c r="Q22" s="36">
        <v>0</v>
      </c>
      <c r="R22" s="87">
        <v>0</v>
      </c>
      <c r="S22" s="36"/>
      <c r="T22" s="147">
        <v>119.4</v>
      </c>
      <c r="U22" s="36">
        <v>0</v>
      </c>
      <c r="V22" s="147">
        <v>133.30000000000001</v>
      </c>
      <c r="W22" s="36">
        <v>0</v>
      </c>
      <c r="X22" s="87">
        <v>0</v>
      </c>
      <c r="Y22" s="36">
        <v>0</v>
      </c>
      <c r="Z22" s="87">
        <v>0</v>
      </c>
      <c r="AA22" s="36">
        <v>0</v>
      </c>
      <c r="AB22" s="147">
        <v>0</v>
      </c>
      <c r="AC22" s="36">
        <v>0</v>
      </c>
      <c r="AD22" s="148">
        <f t="shared" si="7"/>
        <v>0</v>
      </c>
      <c r="AE22" s="36">
        <v>0</v>
      </c>
    </row>
    <row r="23" spans="1:32" x14ac:dyDescent="0.3">
      <c r="A23" s="236">
        <v>151</v>
      </c>
      <c r="B23" s="145" t="s">
        <v>58</v>
      </c>
      <c r="C23" s="146">
        <v>16</v>
      </c>
      <c r="D23" s="87">
        <f t="shared" si="0"/>
        <v>945.9</v>
      </c>
      <c r="E23" s="81">
        <f>RCF!$C$47</f>
        <v>59.121481687424989</v>
      </c>
      <c r="F23" s="147">
        <v>535.9</v>
      </c>
      <c r="G23" s="81">
        <f t="shared" ref="G23:G32" si="23">F23/C23</f>
        <v>33.493749999999999</v>
      </c>
      <c r="H23" s="87">
        <v>506.5</v>
      </c>
      <c r="I23" s="36">
        <f t="shared" ref="I23:I32" si="24">H23/C23</f>
        <v>31.65625</v>
      </c>
      <c r="J23" s="254">
        <v>500.3</v>
      </c>
      <c r="K23" s="81">
        <f t="shared" ref="K23:K32" si="25">J23/C23</f>
        <v>31.268750000000001</v>
      </c>
      <c r="L23" s="147">
        <v>477.2</v>
      </c>
      <c r="M23" s="36">
        <f t="shared" ref="M23:M32" si="26">L23/C23</f>
        <v>29.824999999999999</v>
      </c>
      <c r="N23" s="87">
        <v>507.3</v>
      </c>
      <c r="O23" s="36">
        <f t="shared" ref="O23:O32" si="27">N23/C23</f>
        <v>31.706250000000001</v>
      </c>
      <c r="P23" s="147">
        <v>512.20000000000005</v>
      </c>
      <c r="Q23" s="36">
        <f t="shared" si="9"/>
        <v>32.012500000000003</v>
      </c>
      <c r="R23" s="87">
        <v>494.5</v>
      </c>
      <c r="S23" s="36">
        <f t="shared" si="10"/>
        <v>30.90625</v>
      </c>
      <c r="T23" s="147">
        <v>509.1</v>
      </c>
      <c r="U23" s="36">
        <v>0</v>
      </c>
      <c r="V23" s="147">
        <v>568.79999999999995</v>
      </c>
      <c r="W23" s="36">
        <v>0</v>
      </c>
      <c r="X23" s="87">
        <v>520.20000000000005</v>
      </c>
      <c r="Y23" s="36">
        <f t="shared" si="12"/>
        <v>32.512500000000003</v>
      </c>
      <c r="Z23" s="87"/>
      <c r="AA23" s="36">
        <f t="shared" ref="AA23:AA32" si="28">Z23/C23</f>
        <v>0</v>
      </c>
      <c r="AB23" s="147">
        <v>568.1</v>
      </c>
      <c r="AC23" s="36">
        <f t="shared" ref="AC23:AC32" si="29">AB23/C23</f>
        <v>35.506250000000001</v>
      </c>
      <c r="AD23" s="148">
        <f t="shared" si="7"/>
        <v>0</v>
      </c>
      <c r="AE23" s="36"/>
    </row>
    <row r="24" spans="1:32" x14ac:dyDescent="0.3">
      <c r="A24" s="236">
        <v>152</v>
      </c>
      <c r="B24" s="145" t="s">
        <v>59</v>
      </c>
      <c r="C24" s="146">
        <v>16</v>
      </c>
      <c r="D24" s="87">
        <f t="shared" si="0"/>
        <v>945.9</v>
      </c>
      <c r="E24" s="81">
        <f>RCF!$C$47</f>
        <v>59.121481687424989</v>
      </c>
      <c r="F24" s="147">
        <v>535.9</v>
      </c>
      <c r="G24" s="81">
        <f t="shared" si="23"/>
        <v>33.493749999999999</v>
      </c>
      <c r="H24" s="87">
        <v>506.5</v>
      </c>
      <c r="I24" s="36">
        <f t="shared" si="24"/>
        <v>31.65625</v>
      </c>
      <c r="J24" s="254">
        <v>500.3</v>
      </c>
      <c r="K24" s="81">
        <f t="shared" si="25"/>
        <v>31.268750000000001</v>
      </c>
      <c r="L24" s="147">
        <v>477.2</v>
      </c>
      <c r="M24" s="36">
        <f t="shared" si="26"/>
        <v>29.824999999999999</v>
      </c>
      <c r="N24" s="87">
        <v>507.3</v>
      </c>
      <c r="O24" s="36">
        <f t="shared" si="27"/>
        <v>31.706250000000001</v>
      </c>
      <c r="P24" s="147">
        <v>512.20000000000005</v>
      </c>
      <c r="Q24" s="36">
        <f t="shared" si="9"/>
        <v>32.012500000000003</v>
      </c>
      <c r="R24" s="87">
        <v>494.5</v>
      </c>
      <c r="S24" s="36">
        <f t="shared" si="10"/>
        <v>30.90625</v>
      </c>
      <c r="T24" s="147">
        <v>509.1</v>
      </c>
      <c r="U24" s="36">
        <v>0</v>
      </c>
      <c r="V24" s="147">
        <v>568.79999999999995</v>
      </c>
      <c r="W24" s="36">
        <v>0</v>
      </c>
      <c r="X24" s="87">
        <v>520.20000000000005</v>
      </c>
      <c r="Y24" s="36">
        <f t="shared" si="12"/>
        <v>32.512500000000003</v>
      </c>
      <c r="Z24" s="87"/>
      <c r="AA24" s="36">
        <f t="shared" si="28"/>
        <v>0</v>
      </c>
      <c r="AB24" s="147">
        <v>568.1</v>
      </c>
      <c r="AC24" s="36">
        <f t="shared" si="29"/>
        <v>35.506250000000001</v>
      </c>
      <c r="AD24" s="148">
        <f t="shared" si="7"/>
        <v>563</v>
      </c>
      <c r="AE24" s="81">
        <f>RCF!J$41</f>
        <v>35.186999999999998</v>
      </c>
    </row>
    <row r="25" spans="1:32" x14ac:dyDescent="0.3">
      <c r="A25" s="236">
        <v>173</v>
      </c>
      <c r="B25" s="145" t="s">
        <v>145</v>
      </c>
      <c r="C25" s="146">
        <v>15</v>
      </c>
      <c r="D25" s="87">
        <f t="shared" si="0"/>
        <v>886.8</v>
      </c>
      <c r="E25" s="81">
        <f>RCF!$C$47</f>
        <v>59.121481687424989</v>
      </c>
      <c r="F25" s="147">
        <v>502.7</v>
      </c>
      <c r="G25" s="81">
        <f t="shared" si="23"/>
        <v>33.513333333333335</v>
      </c>
      <c r="H25" s="87">
        <v>523</v>
      </c>
      <c r="I25" s="36">
        <f t="shared" si="24"/>
        <v>34.866666666666667</v>
      </c>
      <c r="J25" s="254">
        <v>524.29999999999995</v>
      </c>
      <c r="K25" s="81">
        <f t="shared" si="25"/>
        <v>34.953333333333333</v>
      </c>
      <c r="L25" s="147">
        <v>475.5</v>
      </c>
      <c r="M25" s="36">
        <f t="shared" si="26"/>
        <v>31.7</v>
      </c>
      <c r="N25" s="87">
        <v>505.5</v>
      </c>
      <c r="O25" s="36">
        <f t="shared" si="27"/>
        <v>33.700000000000003</v>
      </c>
      <c r="P25" s="147">
        <v>534.4</v>
      </c>
      <c r="Q25" s="36">
        <f t="shared" si="9"/>
        <v>35.626666666666665</v>
      </c>
      <c r="R25" s="87">
        <v>519.79999999999995</v>
      </c>
      <c r="S25" s="36">
        <f t="shared" si="10"/>
        <v>34.653333333333329</v>
      </c>
      <c r="T25" s="147">
        <v>477.5</v>
      </c>
      <c r="U25" s="36">
        <f t="shared" si="11"/>
        <v>31.833333333333332</v>
      </c>
      <c r="V25" s="147">
        <v>532.79999999999995</v>
      </c>
      <c r="W25" s="36">
        <f t="shared" si="11"/>
        <v>35.519999999999996</v>
      </c>
      <c r="X25" s="87">
        <v>546.6</v>
      </c>
      <c r="Y25" s="36">
        <f t="shared" si="12"/>
        <v>36.440000000000005</v>
      </c>
      <c r="Z25" s="87"/>
      <c r="AA25" s="36">
        <f t="shared" si="28"/>
        <v>0</v>
      </c>
      <c r="AB25" s="147">
        <v>533.1</v>
      </c>
      <c r="AC25" s="36">
        <f t="shared" si="29"/>
        <v>35.54</v>
      </c>
      <c r="AD25" s="87">
        <v>527.82949999999994</v>
      </c>
      <c r="AE25" s="81">
        <f t="shared" ref="AE25:AE31" si="30">AD25/C25</f>
        <v>35.188633333333328</v>
      </c>
      <c r="AF25" s="278"/>
    </row>
    <row r="26" spans="1:32" x14ac:dyDescent="0.3">
      <c r="A26" s="236">
        <v>174</v>
      </c>
      <c r="B26" s="145" t="s">
        <v>146</v>
      </c>
      <c r="C26" s="146">
        <v>30</v>
      </c>
      <c r="D26" s="87">
        <f t="shared" si="0"/>
        <v>1773.6</v>
      </c>
      <c r="E26" s="81">
        <f>RCF!$C$47</f>
        <v>59.121481687424989</v>
      </c>
      <c r="F26" s="147">
        <v>502.7</v>
      </c>
      <c r="G26" s="81">
        <f t="shared" si="23"/>
        <v>16.756666666666668</v>
      </c>
      <c r="H26" s="87">
        <v>523</v>
      </c>
      <c r="I26" s="36">
        <f t="shared" si="24"/>
        <v>17.433333333333334</v>
      </c>
      <c r="J26" s="254">
        <v>526.29999999999995</v>
      </c>
      <c r="K26" s="81">
        <f t="shared" si="25"/>
        <v>17.543333333333333</v>
      </c>
      <c r="L26" s="147">
        <v>475.5</v>
      </c>
      <c r="M26" s="36">
        <f t="shared" si="26"/>
        <v>15.85</v>
      </c>
      <c r="N26" s="87">
        <v>505.5</v>
      </c>
      <c r="O26" s="36">
        <f t="shared" si="27"/>
        <v>16.850000000000001</v>
      </c>
      <c r="P26" s="147">
        <v>534.4</v>
      </c>
      <c r="Q26" s="36">
        <f t="shared" si="9"/>
        <v>17.813333333333333</v>
      </c>
      <c r="R26" s="87">
        <v>519.79999999999995</v>
      </c>
      <c r="S26" s="36">
        <f t="shared" si="10"/>
        <v>17.326666666666664</v>
      </c>
      <c r="T26" s="147">
        <v>477.5</v>
      </c>
      <c r="U26" s="36">
        <f t="shared" si="11"/>
        <v>15.916666666666666</v>
      </c>
      <c r="V26" s="147">
        <v>532.79999999999995</v>
      </c>
      <c r="W26" s="36">
        <f t="shared" si="11"/>
        <v>17.759999999999998</v>
      </c>
      <c r="X26" s="87">
        <v>546.6</v>
      </c>
      <c r="Y26" s="36">
        <f t="shared" si="12"/>
        <v>18.220000000000002</v>
      </c>
      <c r="Z26" s="87"/>
      <c r="AA26" s="36">
        <f t="shared" si="28"/>
        <v>0</v>
      </c>
      <c r="AB26" s="147">
        <v>533.1</v>
      </c>
      <c r="AC26" s="36">
        <f t="shared" si="29"/>
        <v>17.77</v>
      </c>
      <c r="AD26" s="87">
        <v>527.82949999999994</v>
      </c>
      <c r="AE26" s="81">
        <f t="shared" si="30"/>
        <v>17.594316666666664</v>
      </c>
    </row>
    <row r="27" spans="1:32" x14ac:dyDescent="0.3">
      <c r="A27" s="236">
        <v>175</v>
      </c>
      <c r="B27" s="145" t="s">
        <v>147</v>
      </c>
      <c r="C27" s="146">
        <v>45</v>
      </c>
      <c r="D27" s="87">
        <f t="shared" si="0"/>
        <v>2660.5</v>
      </c>
      <c r="E27" s="81">
        <f>RCF!$C$47</f>
        <v>59.121481687424989</v>
      </c>
      <c r="F27" s="147">
        <v>502.7</v>
      </c>
      <c r="G27" s="81">
        <f t="shared" si="23"/>
        <v>11.171111111111111</v>
      </c>
      <c r="H27" s="87">
        <v>523</v>
      </c>
      <c r="I27" s="36">
        <f t="shared" si="24"/>
        <v>11.622222222222222</v>
      </c>
      <c r="J27" s="254">
        <v>526.29999999999995</v>
      </c>
      <c r="K27" s="81">
        <f t="shared" si="25"/>
        <v>11.695555555555554</v>
      </c>
      <c r="L27" s="147">
        <v>475.5</v>
      </c>
      <c r="M27" s="36">
        <f t="shared" si="26"/>
        <v>10.566666666666666</v>
      </c>
      <c r="N27" s="87">
        <v>505.5</v>
      </c>
      <c r="O27" s="36">
        <f t="shared" si="27"/>
        <v>11.233333333333333</v>
      </c>
      <c r="P27" s="147">
        <v>534.4</v>
      </c>
      <c r="Q27" s="36">
        <f t="shared" si="9"/>
        <v>11.875555555555556</v>
      </c>
      <c r="R27" s="87">
        <v>519.79999999999995</v>
      </c>
      <c r="S27" s="36">
        <f t="shared" si="10"/>
        <v>11.55111111111111</v>
      </c>
      <c r="T27" s="147">
        <v>477.5</v>
      </c>
      <c r="U27" s="36">
        <f t="shared" si="11"/>
        <v>10.611111111111111</v>
      </c>
      <c r="V27" s="147">
        <v>532.79999999999995</v>
      </c>
      <c r="W27" s="36">
        <f t="shared" si="11"/>
        <v>11.84</v>
      </c>
      <c r="X27" s="87">
        <v>546.6</v>
      </c>
      <c r="Y27" s="36">
        <f t="shared" si="12"/>
        <v>12.146666666666667</v>
      </c>
      <c r="Z27" s="87"/>
      <c r="AA27" s="36">
        <f t="shared" si="28"/>
        <v>0</v>
      </c>
      <c r="AB27" s="147">
        <v>533.1</v>
      </c>
      <c r="AC27" s="36">
        <f t="shared" si="29"/>
        <v>11.846666666666668</v>
      </c>
      <c r="AD27" s="87">
        <v>527.82949999999994</v>
      </c>
      <c r="AE27" s="81">
        <f t="shared" si="30"/>
        <v>11.729544444444443</v>
      </c>
    </row>
    <row r="28" spans="1:32" x14ac:dyDescent="0.3">
      <c r="A28" s="236">
        <v>190</v>
      </c>
      <c r="B28" s="145" t="s">
        <v>148</v>
      </c>
      <c r="C28" s="146">
        <v>15</v>
      </c>
      <c r="D28" s="87">
        <f t="shared" si="0"/>
        <v>886.8</v>
      </c>
      <c r="E28" s="81">
        <f>RCF!$C$47</f>
        <v>59.121481687424989</v>
      </c>
      <c r="F28" s="147">
        <v>502.7</v>
      </c>
      <c r="G28" s="81">
        <f t="shared" si="23"/>
        <v>33.513333333333335</v>
      </c>
      <c r="H28" s="87">
        <v>521.20000000000005</v>
      </c>
      <c r="I28" s="36">
        <f t="shared" si="24"/>
        <v>34.74666666666667</v>
      </c>
      <c r="J28" s="254">
        <v>526.29999999999995</v>
      </c>
      <c r="K28" s="81">
        <f t="shared" si="25"/>
        <v>35.086666666666666</v>
      </c>
      <c r="L28" s="147">
        <v>523.6</v>
      </c>
      <c r="M28" s="36">
        <f t="shared" si="26"/>
        <v>34.906666666666666</v>
      </c>
      <c r="N28" s="87">
        <v>556.5</v>
      </c>
      <c r="O28" s="36">
        <f t="shared" si="27"/>
        <v>37.1</v>
      </c>
      <c r="P28" s="147">
        <v>0</v>
      </c>
      <c r="Q28" s="36">
        <f t="shared" si="9"/>
        <v>0</v>
      </c>
      <c r="R28" s="87">
        <v>463.1</v>
      </c>
      <c r="S28" s="36">
        <f t="shared" si="10"/>
        <v>30.873333333333335</v>
      </c>
      <c r="T28" s="147">
        <v>477.5</v>
      </c>
      <c r="U28" s="36">
        <f t="shared" si="11"/>
        <v>31.833333333333332</v>
      </c>
      <c r="V28" s="147">
        <v>532.79999999999995</v>
      </c>
      <c r="W28" s="36">
        <f t="shared" si="11"/>
        <v>35.519999999999996</v>
      </c>
      <c r="X28" s="87">
        <v>563.6</v>
      </c>
      <c r="Y28" s="36">
        <f t="shared" si="12"/>
        <v>37.573333333333338</v>
      </c>
      <c r="Z28" s="87"/>
      <c r="AA28" s="36">
        <f t="shared" si="28"/>
        <v>0</v>
      </c>
      <c r="AB28" s="147">
        <v>533.4</v>
      </c>
      <c r="AC28" s="36">
        <f t="shared" si="29"/>
        <v>35.559999999999995</v>
      </c>
      <c r="AD28" s="87">
        <v>527.82949999999994</v>
      </c>
      <c r="AE28" s="81">
        <f t="shared" si="30"/>
        <v>35.188633333333328</v>
      </c>
    </row>
    <row r="29" spans="1:32" ht="27.6" x14ac:dyDescent="0.3">
      <c r="A29" s="236">
        <v>191</v>
      </c>
      <c r="B29" s="145" t="s">
        <v>149</v>
      </c>
      <c r="C29" s="146">
        <v>30</v>
      </c>
      <c r="D29" s="87">
        <f t="shared" si="0"/>
        <v>1773.6</v>
      </c>
      <c r="E29" s="81">
        <f>RCF!$C$47</f>
        <v>59.121481687424989</v>
      </c>
      <c r="F29" s="147">
        <v>502.7</v>
      </c>
      <c r="G29" s="81">
        <f t="shared" si="23"/>
        <v>16.756666666666668</v>
      </c>
      <c r="H29" s="87">
        <v>521.20000000000005</v>
      </c>
      <c r="I29" s="36">
        <f t="shared" si="24"/>
        <v>17.373333333333335</v>
      </c>
      <c r="J29" s="254">
        <v>526.29999999999995</v>
      </c>
      <c r="K29" s="81">
        <f t="shared" si="25"/>
        <v>17.543333333333333</v>
      </c>
      <c r="L29" s="147">
        <v>523.6</v>
      </c>
      <c r="M29" s="36">
        <f t="shared" si="26"/>
        <v>17.453333333333333</v>
      </c>
      <c r="N29" s="87">
        <v>556.5</v>
      </c>
      <c r="O29" s="36">
        <f t="shared" si="27"/>
        <v>18.55</v>
      </c>
      <c r="P29" s="147">
        <v>0</v>
      </c>
      <c r="Q29" s="36">
        <f t="shared" si="9"/>
        <v>0</v>
      </c>
      <c r="R29" s="87">
        <v>519.79999999999995</v>
      </c>
      <c r="S29" s="36">
        <f t="shared" si="10"/>
        <v>17.326666666666664</v>
      </c>
      <c r="T29" s="147">
        <v>477.5</v>
      </c>
      <c r="U29" s="36">
        <f t="shared" si="11"/>
        <v>15.916666666666666</v>
      </c>
      <c r="V29" s="147">
        <v>532.79999999999995</v>
      </c>
      <c r="W29" s="36">
        <f t="shared" si="11"/>
        <v>17.759999999999998</v>
      </c>
      <c r="X29" s="87">
        <v>563.6</v>
      </c>
      <c r="Y29" s="36">
        <f t="shared" si="12"/>
        <v>18.786666666666669</v>
      </c>
      <c r="Z29" s="87"/>
      <c r="AA29" s="36">
        <f t="shared" si="28"/>
        <v>0</v>
      </c>
      <c r="AB29" s="147">
        <v>533.4</v>
      </c>
      <c r="AC29" s="36">
        <f t="shared" si="29"/>
        <v>17.779999999999998</v>
      </c>
      <c r="AD29" s="87">
        <v>527.82949999999994</v>
      </c>
      <c r="AE29" s="81">
        <f t="shared" si="30"/>
        <v>17.594316666666664</v>
      </c>
    </row>
    <row r="30" spans="1:32" x14ac:dyDescent="0.3">
      <c r="A30" s="236">
        <v>192</v>
      </c>
      <c r="B30" s="145" t="s">
        <v>150</v>
      </c>
      <c r="C30" s="146">
        <v>45</v>
      </c>
      <c r="D30" s="87">
        <f t="shared" si="0"/>
        <v>2660.5</v>
      </c>
      <c r="E30" s="81">
        <f>RCF!$C$47</f>
        <v>59.121481687424989</v>
      </c>
      <c r="F30" s="147">
        <v>502.7</v>
      </c>
      <c r="G30" s="81">
        <f t="shared" si="23"/>
        <v>11.171111111111111</v>
      </c>
      <c r="H30" s="87">
        <v>521.20000000000005</v>
      </c>
      <c r="I30" s="36">
        <f t="shared" si="24"/>
        <v>11.582222222222223</v>
      </c>
      <c r="J30" s="254">
        <v>526.29999999999995</v>
      </c>
      <c r="K30" s="81">
        <f t="shared" si="25"/>
        <v>11.695555555555554</v>
      </c>
      <c r="L30" s="147">
        <v>523.6</v>
      </c>
      <c r="M30" s="36">
        <f t="shared" si="26"/>
        <v>11.635555555555555</v>
      </c>
      <c r="N30" s="87">
        <v>556.5</v>
      </c>
      <c r="O30" s="36">
        <f t="shared" si="27"/>
        <v>12.366666666666667</v>
      </c>
      <c r="P30" s="147">
        <v>0</v>
      </c>
      <c r="Q30" s="36">
        <f t="shared" si="9"/>
        <v>0</v>
      </c>
      <c r="R30" s="87">
        <v>519.79999999999995</v>
      </c>
      <c r="S30" s="36">
        <f t="shared" si="10"/>
        <v>11.55111111111111</v>
      </c>
      <c r="T30" s="147">
        <v>477.5</v>
      </c>
      <c r="U30" s="36">
        <f t="shared" si="11"/>
        <v>10.611111111111111</v>
      </c>
      <c r="V30" s="147">
        <v>532.79999999999995</v>
      </c>
      <c r="W30" s="36">
        <f t="shared" si="11"/>
        <v>11.84</v>
      </c>
      <c r="X30" s="87">
        <v>563.6</v>
      </c>
      <c r="Y30" s="36">
        <f t="shared" si="12"/>
        <v>12.524444444444445</v>
      </c>
      <c r="Z30" s="87"/>
      <c r="AA30" s="36">
        <f t="shared" si="28"/>
        <v>0</v>
      </c>
      <c r="AB30" s="147">
        <v>533.4</v>
      </c>
      <c r="AC30" s="36">
        <f t="shared" si="29"/>
        <v>11.853333333333333</v>
      </c>
      <c r="AD30" s="87">
        <v>527.82949999999994</v>
      </c>
      <c r="AE30" s="81">
        <f t="shared" si="30"/>
        <v>11.729544444444443</v>
      </c>
    </row>
    <row r="31" spans="1:32" s="139" customFormat="1" x14ac:dyDescent="0.3">
      <c r="A31" s="239">
        <v>193</v>
      </c>
      <c r="B31" s="153" t="s">
        <v>151</v>
      </c>
      <c r="C31" s="154">
        <v>63.6</v>
      </c>
      <c r="D31" s="137">
        <f t="shared" ref="D31" si="31">ROUND(E31*C31,1)</f>
        <v>3760.1</v>
      </c>
      <c r="E31" s="138">
        <f>RCF!$C$47</f>
        <v>59.121481687424989</v>
      </c>
      <c r="F31" s="149">
        <v>502.7</v>
      </c>
      <c r="G31" s="138">
        <f t="shared" si="23"/>
        <v>7.9040880503144653</v>
      </c>
      <c r="H31" s="137">
        <v>521.20000000000005</v>
      </c>
      <c r="I31" s="150">
        <f t="shared" ref="I31" si="32">H31/C31</f>
        <v>8.1949685534591197</v>
      </c>
      <c r="J31" s="255">
        <v>526.29999999999995</v>
      </c>
      <c r="K31" s="138">
        <f t="shared" ref="K31" si="33">J31/C31</f>
        <v>8.2751572327044016</v>
      </c>
      <c r="L31" s="149">
        <v>523.6</v>
      </c>
      <c r="M31" s="150">
        <f t="shared" ref="M31" si="34">L31/C31</f>
        <v>8.2327044025157239</v>
      </c>
      <c r="N31" s="137">
        <v>556.5</v>
      </c>
      <c r="O31" s="150">
        <f t="shared" ref="O31" si="35">N31/C31</f>
        <v>8.75</v>
      </c>
      <c r="P31" s="149">
        <v>2265.8000000000002</v>
      </c>
      <c r="Q31" s="36">
        <f t="shared" si="9"/>
        <v>35.625786163522015</v>
      </c>
      <c r="R31" s="137">
        <v>519.79999999999995</v>
      </c>
      <c r="S31" s="150">
        <f t="shared" ref="S31:S32" si="36">R31/C31</f>
        <v>8.1729559748427665</v>
      </c>
      <c r="T31" s="147">
        <v>477.5</v>
      </c>
      <c r="U31" s="36">
        <f t="shared" si="11"/>
        <v>7.5078616352201255</v>
      </c>
      <c r="V31" s="149">
        <v>532.79999999999995</v>
      </c>
      <c r="W31" s="150">
        <f t="shared" ref="W31" si="37">V31/$C31</f>
        <v>8.3773584905660368</v>
      </c>
      <c r="X31" s="87">
        <v>563.70000000000005</v>
      </c>
      <c r="Y31" s="36">
        <f t="shared" si="12"/>
        <v>8.8632075471698126</v>
      </c>
      <c r="Z31" s="137"/>
      <c r="AA31" s="150">
        <f t="shared" si="28"/>
        <v>0</v>
      </c>
      <c r="AB31" s="147">
        <f>AB30</f>
        <v>533.4</v>
      </c>
      <c r="AC31" s="150">
        <f t="shared" si="29"/>
        <v>8.3867924528301874</v>
      </c>
      <c r="AD31" s="137">
        <v>0</v>
      </c>
      <c r="AE31" s="138">
        <f t="shared" si="30"/>
        <v>0</v>
      </c>
    </row>
    <row r="32" spans="1:32" x14ac:dyDescent="0.3">
      <c r="A32" s="236">
        <v>199</v>
      </c>
      <c r="B32" s="155" t="s">
        <v>60</v>
      </c>
      <c r="C32" s="146">
        <v>21.43</v>
      </c>
      <c r="D32" s="87">
        <f t="shared" si="0"/>
        <v>1267</v>
      </c>
      <c r="E32" s="81">
        <f>RCF!$C$47</f>
        <v>59.121481687424989</v>
      </c>
      <c r="F32" s="147">
        <v>640.5</v>
      </c>
      <c r="G32" s="81">
        <f t="shared" si="23"/>
        <v>29.888007466168922</v>
      </c>
      <c r="H32" s="87">
        <v>521.20000000000005</v>
      </c>
      <c r="I32" s="36">
        <f t="shared" si="24"/>
        <v>24.321045263649093</v>
      </c>
      <c r="J32" s="254">
        <v>670.5</v>
      </c>
      <c r="K32" s="81">
        <f t="shared" si="25"/>
        <v>31.287914139057396</v>
      </c>
      <c r="L32" s="147">
        <v>605.70000000000005</v>
      </c>
      <c r="M32" s="36">
        <f t="shared" si="26"/>
        <v>28.264115725618293</v>
      </c>
      <c r="N32" s="156">
        <v>643.9</v>
      </c>
      <c r="O32" s="36">
        <f t="shared" si="27"/>
        <v>30.046663555762947</v>
      </c>
      <c r="P32" s="87">
        <v>686</v>
      </c>
      <c r="Q32" s="36">
        <f t="shared" si="9"/>
        <v>32.011199253383111</v>
      </c>
      <c r="R32" s="87">
        <v>662.4</v>
      </c>
      <c r="S32" s="36">
        <f t="shared" si="36"/>
        <v>30.909939337377509</v>
      </c>
      <c r="T32" s="147">
        <v>608.6</v>
      </c>
      <c r="U32" s="36">
        <f t="shared" si="11"/>
        <v>28.399440037330844</v>
      </c>
      <c r="V32" s="147">
        <v>679.7</v>
      </c>
      <c r="W32" s="36">
        <f t="shared" si="11"/>
        <v>31.717218852076531</v>
      </c>
      <c r="X32" s="87">
        <v>696.3</v>
      </c>
      <c r="Y32" s="36">
        <f t="shared" si="12"/>
        <v>32.491833877741485</v>
      </c>
      <c r="Z32" s="87"/>
      <c r="AA32" s="36">
        <f t="shared" si="28"/>
        <v>0</v>
      </c>
      <c r="AB32" s="147">
        <v>679</v>
      </c>
      <c r="AC32" s="36">
        <f t="shared" si="29"/>
        <v>31.684554363042466</v>
      </c>
      <c r="AD32" s="148">
        <f>ROUND(AE32*C32,1)</f>
        <v>754.1</v>
      </c>
      <c r="AE32" s="81">
        <f>RCF!J$41</f>
        <v>35.186999999999998</v>
      </c>
    </row>
    <row r="33" spans="1:31" x14ac:dyDescent="0.3">
      <c r="A33" s="240"/>
      <c r="B33" s="157"/>
      <c r="C33" s="158"/>
      <c r="D33" s="159"/>
      <c r="E33" s="38"/>
      <c r="F33" s="37"/>
      <c r="G33" s="38"/>
      <c r="H33" s="159"/>
      <c r="I33" s="160"/>
      <c r="J33" s="257"/>
      <c r="K33" s="38"/>
      <c r="L33" s="159"/>
      <c r="M33" s="160"/>
      <c r="N33" s="159"/>
      <c r="O33" s="160"/>
      <c r="P33" s="159"/>
      <c r="Q33" s="160"/>
      <c r="R33" s="159"/>
      <c r="S33" s="160"/>
      <c r="T33" s="161"/>
      <c r="U33" s="160"/>
      <c r="V33" s="161"/>
      <c r="W33" s="160"/>
      <c r="X33" s="159"/>
      <c r="Y33" s="160"/>
      <c r="Z33" s="159"/>
      <c r="AA33" s="160"/>
      <c r="AB33" s="228"/>
      <c r="AC33" s="160"/>
      <c r="AD33" s="37"/>
      <c r="AE33" s="38"/>
    </row>
    <row r="34" spans="1:31" s="39" customFormat="1" x14ac:dyDescent="0.3">
      <c r="A34" s="241"/>
      <c r="B34" s="162" t="s">
        <v>4</v>
      </c>
      <c r="C34" s="163"/>
      <c r="D34" s="164"/>
      <c r="E34" s="165"/>
      <c r="F34" s="22"/>
      <c r="G34" s="165"/>
      <c r="H34" s="166"/>
      <c r="I34" s="167"/>
      <c r="J34" s="258"/>
      <c r="K34" s="165"/>
      <c r="L34" s="168"/>
      <c r="M34" s="167"/>
      <c r="N34" s="168"/>
      <c r="O34" s="169"/>
      <c r="P34" s="166"/>
      <c r="Q34" s="167"/>
      <c r="R34" s="166"/>
      <c r="S34" s="167"/>
      <c r="T34" s="22"/>
      <c r="U34" s="167"/>
      <c r="V34" s="22"/>
      <c r="W34" s="167"/>
      <c r="X34" s="166"/>
      <c r="Y34" s="167"/>
      <c r="Z34" s="166"/>
      <c r="AA34" s="167"/>
      <c r="AB34" s="166"/>
      <c r="AC34" s="167"/>
      <c r="AD34" s="165"/>
      <c r="AE34" s="170"/>
    </row>
    <row r="35" spans="1:31" s="39" customFormat="1" x14ac:dyDescent="0.3">
      <c r="A35" s="242"/>
      <c r="B35" s="171"/>
      <c r="C35" s="172"/>
      <c r="D35" s="173"/>
      <c r="E35" s="40"/>
      <c r="F35" s="29"/>
      <c r="G35" s="40"/>
      <c r="H35" s="29"/>
      <c r="I35" s="40"/>
      <c r="J35" s="259"/>
      <c r="K35" s="40"/>
      <c r="L35" s="174"/>
      <c r="M35" s="175"/>
      <c r="N35" s="174"/>
      <c r="O35" s="175"/>
      <c r="P35" s="29"/>
      <c r="Q35" s="40"/>
      <c r="R35" s="234"/>
      <c r="S35" s="175"/>
      <c r="T35" s="29"/>
      <c r="U35" s="40"/>
      <c r="V35" s="29"/>
      <c r="W35" s="40"/>
      <c r="X35" s="29"/>
      <c r="Y35" s="40"/>
      <c r="Z35" s="29"/>
      <c r="AA35" s="40"/>
      <c r="AB35" s="29"/>
      <c r="AC35" s="40"/>
      <c r="AD35" s="29"/>
      <c r="AE35" s="40"/>
    </row>
    <row r="36" spans="1:31" s="39" customFormat="1" ht="27.6" x14ac:dyDescent="0.3">
      <c r="A36" s="243">
        <v>17</v>
      </c>
      <c r="B36" s="145" t="s">
        <v>152</v>
      </c>
      <c r="C36" s="146">
        <v>7.5</v>
      </c>
      <c r="D36" s="176">
        <f t="shared" ref="D36:D69" si="38">ROUND(E36*C36,1)</f>
        <v>0</v>
      </c>
      <c r="E36" s="177">
        <f>AE36</f>
        <v>0</v>
      </c>
      <c r="F36" s="87">
        <f t="shared" ref="F36:F69" si="39">ROUND(G36*$C36,1)</f>
        <v>0</v>
      </c>
      <c r="G36" s="36">
        <f>RCF!G5</f>
        <v>0</v>
      </c>
      <c r="H36" s="87">
        <f t="shared" ref="H36:H69" si="40">ROUNDDOWN(I36*C36,1)</f>
        <v>0</v>
      </c>
      <c r="I36" s="36">
        <f>RCF!G37</f>
        <v>0</v>
      </c>
      <c r="J36" s="253">
        <f t="shared" ref="J36:J69" si="41">ROUNDDOWN(C36*K36,1)</f>
        <v>0</v>
      </c>
      <c r="K36" s="36">
        <f>RCF!I7</f>
        <v>0</v>
      </c>
      <c r="L36" s="87">
        <f t="shared" ref="L36:N36" si="42">ROUND(M36*$C36,1)</f>
        <v>223.3</v>
      </c>
      <c r="M36" s="36">
        <f>RCF!G9</f>
        <v>29.773333333333333</v>
      </c>
      <c r="N36" s="87">
        <f t="shared" si="42"/>
        <v>0</v>
      </c>
      <c r="O36" s="36">
        <f>RCF!G11</f>
        <v>0</v>
      </c>
      <c r="P36" s="87"/>
      <c r="Q36" s="36"/>
      <c r="R36" s="87">
        <f t="shared" ref="R36:R69" si="43">ROUNDDOWN(C36*S36,1)</f>
        <v>0</v>
      </c>
      <c r="S36" s="36"/>
      <c r="T36" s="87">
        <f t="shared" ref="T36" si="44">ROUND(U36*C36,1)</f>
        <v>213.1</v>
      </c>
      <c r="U36" s="36">
        <f>RCF!G22</f>
        <v>28.413333333333334</v>
      </c>
      <c r="V36" s="87">
        <f t="shared" ref="V36:V69" si="45">ROUND(W36*C36,1)</f>
        <v>208.6</v>
      </c>
      <c r="W36" s="36">
        <f>RCF!D26</f>
        <v>27.816883116883119</v>
      </c>
      <c r="X36" s="87">
        <f t="shared" ref="X36:X69" si="46">ROUNDDOWN(Y36*C36,1)</f>
        <v>0</v>
      </c>
      <c r="Y36" s="36">
        <f>RCF!G33</f>
        <v>0</v>
      </c>
      <c r="Z36" s="87">
        <f t="shared" ref="Z36:Z69" si="47">ROUNDDOWN(AA36*C36,1)</f>
        <v>229.4</v>
      </c>
      <c r="AA36" s="36">
        <f>RCF!G39</f>
        <v>30.596</v>
      </c>
      <c r="AB36" s="87">
        <f t="shared" ref="AB36:AB69" si="48">ROUNDDOWN(C36*AC36,1)</f>
        <v>0</v>
      </c>
      <c r="AC36" s="36"/>
      <c r="AD36" s="87">
        <f t="shared" ref="AD36:AD69" si="49">ROUND(AE36*C36,1)</f>
        <v>0</v>
      </c>
      <c r="AE36" s="81">
        <f>RCF!G41</f>
        <v>0</v>
      </c>
    </row>
    <row r="37" spans="1:31" s="39" customFormat="1" x14ac:dyDescent="0.3">
      <c r="A37" s="236">
        <v>202</v>
      </c>
      <c r="B37" s="145" t="s">
        <v>11</v>
      </c>
      <c r="C37" s="146">
        <v>10</v>
      </c>
      <c r="D37" s="87">
        <f t="shared" si="38"/>
        <v>591.20000000000005</v>
      </c>
      <c r="E37" s="81">
        <f>RCF!$C$47</f>
        <v>59.121481687424989</v>
      </c>
      <c r="F37" s="87">
        <f t="shared" si="39"/>
        <v>185.6</v>
      </c>
      <c r="G37" s="81">
        <f>RCF!C$5</f>
        <v>18.559999999999999</v>
      </c>
      <c r="H37" s="87">
        <f t="shared" si="40"/>
        <v>194.8</v>
      </c>
      <c r="I37" s="36">
        <f>RCF!C$37</f>
        <v>19.486666666666668</v>
      </c>
      <c r="J37" s="253">
        <f t="shared" si="41"/>
        <v>193</v>
      </c>
      <c r="K37" s="36">
        <f>RCF!C$7</f>
        <v>19.303333333333335</v>
      </c>
      <c r="L37" s="87">
        <f t="shared" ref="L37:L70" si="50">ROUND(M37*$C37,1)</f>
        <v>184.2</v>
      </c>
      <c r="M37" s="36">
        <f>RCF!C$9</f>
        <v>18.422999999999998</v>
      </c>
      <c r="N37" s="87">
        <f t="shared" ref="N37:N70" si="51">ROUND(O37*$C37,1)</f>
        <v>187.2</v>
      </c>
      <c r="O37" s="36">
        <f>RCF!C$11</f>
        <v>18.722000000000001</v>
      </c>
      <c r="P37" s="87">
        <f>ROUNDDOWN(Q37*C37,1)</f>
        <v>198.2</v>
      </c>
      <c r="Q37" s="36">
        <f>RCF!C$64</f>
        <v>19.826666666666664</v>
      </c>
      <c r="R37" s="147">
        <f t="shared" si="43"/>
        <v>191.3</v>
      </c>
      <c r="S37" s="36">
        <f>RCF!C$13</f>
        <v>19.133333333333333</v>
      </c>
      <c r="T37" s="87">
        <f t="shared" ref="T37:T70" si="52">ROUND(U37*C37,1)</f>
        <v>175.7</v>
      </c>
      <c r="U37" s="36">
        <f>RCF!C$22</f>
        <v>17.57</v>
      </c>
      <c r="V37" s="87">
        <f t="shared" si="45"/>
        <v>196.4</v>
      </c>
      <c r="W37" s="36">
        <f>RCF!C$26</f>
        <v>19.636666666666667</v>
      </c>
      <c r="X37" s="87">
        <f t="shared" si="46"/>
        <v>201.2</v>
      </c>
      <c r="Y37" s="36">
        <f>RCF!C$33</f>
        <v>20.121274</v>
      </c>
      <c r="Z37" s="87">
        <f t="shared" si="47"/>
        <v>189.4</v>
      </c>
      <c r="AA37" s="36">
        <f>RCF!C$39</f>
        <v>18.946666666666665</v>
      </c>
      <c r="AB37" s="87">
        <f t="shared" si="48"/>
        <v>261.89999999999998</v>
      </c>
      <c r="AC37" s="36">
        <f>RCF!C$35</f>
        <v>26.19</v>
      </c>
      <c r="AD37" s="87">
        <f t="shared" si="49"/>
        <v>190.7</v>
      </c>
      <c r="AE37" s="81">
        <f>RCF!C$41</f>
        <v>19.068114999999999</v>
      </c>
    </row>
    <row r="38" spans="1:31" s="39" customFormat="1" x14ac:dyDescent="0.3">
      <c r="A38" s="236">
        <v>205</v>
      </c>
      <c r="B38" s="145" t="s">
        <v>61</v>
      </c>
      <c r="C38" s="146">
        <v>12</v>
      </c>
      <c r="D38" s="87">
        <f t="shared" si="38"/>
        <v>709.5</v>
      </c>
      <c r="E38" s="81">
        <f>RCF!$C$47</f>
        <v>59.121481687424989</v>
      </c>
      <c r="F38" s="87">
        <f t="shared" si="39"/>
        <v>222.7</v>
      </c>
      <c r="G38" s="81">
        <f>RCF!C$5</f>
        <v>18.559999999999999</v>
      </c>
      <c r="H38" s="87">
        <f t="shared" si="40"/>
        <v>233.8</v>
      </c>
      <c r="I38" s="36">
        <f>RCF!C$37</f>
        <v>19.486666666666668</v>
      </c>
      <c r="J38" s="253">
        <f t="shared" si="41"/>
        <v>231.6</v>
      </c>
      <c r="K38" s="36">
        <f>RCF!C$7</f>
        <v>19.303333333333335</v>
      </c>
      <c r="L38" s="87">
        <f t="shared" si="50"/>
        <v>221.1</v>
      </c>
      <c r="M38" s="36">
        <f>RCF!C$9</f>
        <v>18.422999999999998</v>
      </c>
      <c r="N38" s="87">
        <f t="shared" si="51"/>
        <v>224.7</v>
      </c>
      <c r="O38" s="36">
        <f>RCF!C$11</f>
        <v>18.722000000000001</v>
      </c>
      <c r="P38" s="87">
        <f t="shared" ref="P38:P124" si="53">ROUNDDOWN(Q38*C38,1)</f>
        <v>237.9</v>
      </c>
      <c r="Q38" s="36">
        <f>RCF!C$64</f>
        <v>19.826666666666664</v>
      </c>
      <c r="R38" s="147">
        <f t="shared" si="43"/>
        <v>229.6</v>
      </c>
      <c r="S38" s="36">
        <f>RCF!C$13</f>
        <v>19.133333333333333</v>
      </c>
      <c r="T38" s="87">
        <f t="shared" si="52"/>
        <v>210.8</v>
      </c>
      <c r="U38" s="36">
        <f>RCF!C$22</f>
        <v>17.57</v>
      </c>
      <c r="V38" s="87">
        <f t="shared" si="45"/>
        <v>235.6</v>
      </c>
      <c r="W38" s="36">
        <f>RCF!C$26</f>
        <v>19.636666666666667</v>
      </c>
      <c r="X38" s="87">
        <f t="shared" si="46"/>
        <v>241.4</v>
      </c>
      <c r="Y38" s="36">
        <f>RCF!C$33</f>
        <v>20.121274</v>
      </c>
      <c r="Z38" s="87">
        <f t="shared" si="47"/>
        <v>227.3</v>
      </c>
      <c r="AA38" s="36">
        <f>RCF!C$39</f>
        <v>18.946666666666665</v>
      </c>
      <c r="AB38" s="87">
        <f t="shared" si="48"/>
        <v>314.2</v>
      </c>
      <c r="AC38" s="36">
        <f>RCF!C$35</f>
        <v>26.19</v>
      </c>
      <c r="AD38" s="87">
        <f t="shared" si="49"/>
        <v>228.8</v>
      </c>
      <c r="AE38" s="81">
        <f>RCF!C$41</f>
        <v>19.068114999999999</v>
      </c>
    </row>
    <row r="39" spans="1:31" s="39" customFormat="1" x14ac:dyDescent="0.3">
      <c r="A39" s="236">
        <v>206</v>
      </c>
      <c r="B39" s="145" t="s">
        <v>153</v>
      </c>
      <c r="C39" s="146">
        <v>6</v>
      </c>
      <c r="D39" s="87">
        <f t="shared" si="38"/>
        <v>354.7</v>
      </c>
      <c r="E39" s="81">
        <f>RCF!$C$47</f>
        <v>59.121481687424989</v>
      </c>
      <c r="F39" s="87">
        <f t="shared" si="39"/>
        <v>111.4</v>
      </c>
      <c r="G39" s="81">
        <f>RCF!C$5</f>
        <v>18.559999999999999</v>
      </c>
      <c r="H39" s="87">
        <f t="shared" si="40"/>
        <v>116.9</v>
      </c>
      <c r="I39" s="36">
        <f>RCF!C$37</f>
        <v>19.486666666666668</v>
      </c>
      <c r="J39" s="253">
        <f t="shared" si="41"/>
        <v>115.8</v>
      </c>
      <c r="K39" s="36">
        <f>RCF!C$7</f>
        <v>19.303333333333335</v>
      </c>
      <c r="L39" s="87">
        <f t="shared" si="50"/>
        <v>110.5</v>
      </c>
      <c r="M39" s="36">
        <f>RCF!C$9</f>
        <v>18.422999999999998</v>
      </c>
      <c r="N39" s="87">
        <f t="shared" si="51"/>
        <v>112.3</v>
      </c>
      <c r="O39" s="36">
        <f>RCF!C$11</f>
        <v>18.722000000000001</v>
      </c>
      <c r="P39" s="87">
        <f t="shared" si="53"/>
        <v>118.9</v>
      </c>
      <c r="Q39" s="36">
        <f>RCF!C$64</f>
        <v>19.826666666666664</v>
      </c>
      <c r="R39" s="147">
        <f t="shared" si="43"/>
        <v>114.8</v>
      </c>
      <c r="S39" s="36">
        <f>RCF!C$13</f>
        <v>19.133333333333333</v>
      </c>
      <c r="T39" s="87">
        <f t="shared" si="52"/>
        <v>105.4</v>
      </c>
      <c r="U39" s="36">
        <f>RCF!C$22</f>
        <v>17.57</v>
      </c>
      <c r="V39" s="87">
        <f t="shared" si="45"/>
        <v>117.8</v>
      </c>
      <c r="W39" s="36">
        <f>RCF!C$26</f>
        <v>19.636666666666667</v>
      </c>
      <c r="X39" s="87">
        <f t="shared" si="46"/>
        <v>120.7</v>
      </c>
      <c r="Y39" s="36">
        <f>RCF!C$33</f>
        <v>20.121274</v>
      </c>
      <c r="Z39" s="87">
        <f t="shared" si="47"/>
        <v>113.6</v>
      </c>
      <c r="AA39" s="36">
        <f>RCF!C$39</f>
        <v>18.946666666666665</v>
      </c>
      <c r="AB39" s="87">
        <f t="shared" si="48"/>
        <v>157.1</v>
      </c>
      <c r="AC39" s="36">
        <f>RCF!C$35</f>
        <v>26.19</v>
      </c>
      <c r="AD39" s="87">
        <f t="shared" si="49"/>
        <v>114.4</v>
      </c>
      <c r="AE39" s="81">
        <f>RCF!C$41</f>
        <v>19.068114999999999</v>
      </c>
    </row>
    <row r="40" spans="1:31" s="39" customFormat="1" x14ac:dyDescent="0.3">
      <c r="A40" s="236">
        <v>207</v>
      </c>
      <c r="B40" s="145" t="s">
        <v>154</v>
      </c>
      <c r="C40" s="146">
        <v>8</v>
      </c>
      <c r="D40" s="87">
        <f t="shared" si="38"/>
        <v>473</v>
      </c>
      <c r="E40" s="81">
        <f>RCF!$C$47</f>
        <v>59.121481687424989</v>
      </c>
      <c r="F40" s="87">
        <f t="shared" si="39"/>
        <v>148.5</v>
      </c>
      <c r="G40" s="81">
        <f>RCF!C$5</f>
        <v>18.559999999999999</v>
      </c>
      <c r="H40" s="87">
        <f t="shared" si="40"/>
        <v>155.80000000000001</v>
      </c>
      <c r="I40" s="36">
        <f>RCF!C$37</f>
        <v>19.486666666666668</v>
      </c>
      <c r="J40" s="253">
        <f t="shared" si="41"/>
        <v>154.4</v>
      </c>
      <c r="K40" s="36">
        <f>RCF!C$7</f>
        <v>19.303333333333335</v>
      </c>
      <c r="L40" s="87">
        <f t="shared" si="50"/>
        <v>147.4</v>
      </c>
      <c r="M40" s="36">
        <f>RCF!C$9</f>
        <v>18.422999999999998</v>
      </c>
      <c r="N40" s="87">
        <f t="shared" si="51"/>
        <v>149.80000000000001</v>
      </c>
      <c r="O40" s="36">
        <f>RCF!C$11</f>
        <v>18.722000000000001</v>
      </c>
      <c r="P40" s="87">
        <f t="shared" si="53"/>
        <v>158.6</v>
      </c>
      <c r="Q40" s="36">
        <f>RCF!C$64</f>
        <v>19.826666666666664</v>
      </c>
      <c r="R40" s="147">
        <f t="shared" si="43"/>
        <v>153</v>
      </c>
      <c r="S40" s="36">
        <f>RCF!C$13</f>
        <v>19.133333333333333</v>
      </c>
      <c r="T40" s="87">
        <f t="shared" si="52"/>
        <v>140.6</v>
      </c>
      <c r="U40" s="36">
        <f>RCF!C$22</f>
        <v>17.57</v>
      </c>
      <c r="V40" s="87">
        <f t="shared" si="45"/>
        <v>157.1</v>
      </c>
      <c r="W40" s="36">
        <f>RCF!C$26</f>
        <v>19.636666666666667</v>
      </c>
      <c r="X40" s="87">
        <f t="shared" si="46"/>
        <v>160.9</v>
      </c>
      <c r="Y40" s="36">
        <f>RCF!C$33</f>
        <v>20.121274</v>
      </c>
      <c r="Z40" s="87">
        <f t="shared" si="47"/>
        <v>151.5</v>
      </c>
      <c r="AA40" s="36">
        <f>RCF!C$39</f>
        <v>18.946666666666665</v>
      </c>
      <c r="AB40" s="87">
        <f t="shared" si="48"/>
        <v>209.5</v>
      </c>
      <c r="AC40" s="36">
        <f>RCF!C$35</f>
        <v>26.19</v>
      </c>
      <c r="AD40" s="87">
        <f t="shared" si="49"/>
        <v>152.5</v>
      </c>
      <c r="AE40" s="81">
        <f>RCF!C$41</f>
        <v>19.068114999999999</v>
      </c>
    </row>
    <row r="41" spans="1:31" s="39" customFormat="1" ht="27.6" x14ac:dyDescent="0.3">
      <c r="A41" s="236">
        <v>208</v>
      </c>
      <c r="B41" s="145" t="s">
        <v>155</v>
      </c>
      <c r="C41" s="146">
        <v>6</v>
      </c>
      <c r="D41" s="87">
        <f t="shared" si="38"/>
        <v>354.7</v>
      </c>
      <c r="E41" s="81">
        <f>RCF!$C$47</f>
        <v>59.121481687424989</v>
      </c>
      <c r="F41" s="87">
        <f t="shared" si="39"/>
        <v>111.4</v>
      </c>
      <c r="G41" s="81">
        <f>RCF!C$5</f>
        <v>18.559999999999999</v>
      </c>
      <c r="H41" s="87">
        <f t="shared" si="40"/>
        <v>116.9</v>
      </c>
      <c r="I41" s="36">
        <f>RCF!C$37</f>
        <v>19.486666666666668</v>
      </c>
      <c r="J41" s="253">
        <f t="shared" si="41"/>
        <v>115.8</v>
      </c>
      <c r="K41" s="36">
        <f>RCF!C$7</f>
        <v>19.303333333333335</v>
      </c>
      <c r="L41" s="87">
        <f t="shared" si="50"/>
        <v>110.5</v>
      </c>
      <c r="M41" s="36">
        <f>RCF!C$9</f>
        <v>18.422999999999998</v>
      </c>
      <c r="N41" s="87">
        <f t="shared" si="51"/>
        <v>112.3</v>
      </c>
      <c r="O41" s="36">
        <f>RCF!C$11</f>
        <v>18.722000000000001</v>
      </c>
      <c r="P41" s="87">
        <f t="shared" si="53"/>
        <v>118.9</v>
      </c>
      <c r="Q41" s="36">
        <f>RCF!C$64</f>
        <v>19.826666666666664</v>
      </c>
      <c r="R41" s="147">
        <f t="shared" si="43"/>
        <v>114.8</v>
      </c>
      <c r="S41" s="36">
        <f>RCF!C$13</f>
        <v>19.133333333333333</v>
      </c>
      <c r="T41" s="87">
        <f t="shared" si="52"/>
        <v>105.4</v>
      </c>
      <c r="U41" s="36">
        <f>RCF!C$22</f>
        <v>17.57</v>
      </c>
      <c r="V41" s="87">
        <f t="shared" si="45"/>
        <v>117.8</v>
      </c>
      <c r="W41" s="36">
        <f>RCF!C$26</f>
        <v>19.636666666666667</v>
      </c>
      <c r="X41" s="87">
        <f t="shared" si="46"/>
        <v>120.7</v>
      </c>
      <c r="Y41" s="36">
        <f>RCF!C$33</f>
        <v>20.121274</v>
      </c>
      <c r="Z41" s="87">
        <f t="shared" si="47"/>
        <v>113.6</v>
      </c>
      <c r="AA41" s="36">
        <f>RCF!C$39</f>
        <v>18.946666666666665</v>
      </c>
      <c r="AB41" s="87">
        <f t="shared" si="48"/>
        <v>157.1</v>
      </c>
      <c r="AC41" s="36">
        <f>RCF!C$35</f>
        <v>26.19</v>
      </c>
      <c r="AD41" s="87">
        <f t="shared" si="49"/>
        <v>114.4</v>
      </c>
      <c r="AE41" s="81">
        <f>RCF!C$41</f>
        <v>19.068114999999999</v>
      </c>
    </row>
    <row r="42" spans="1:31" s="39" customFormat="1" x14ac:dyDescent="0.3">
      <c r="A42" s="236">
        <v>210</v>
      </c>
      <c r="B42" s="145" t="s">
        <v>62</v>
      </c>
      <c r="C42" s="146">
        <v>3.25</v>
      </c>
      <c r="D42" s="87">
        <f t="shared" si="38"/>
        <v>192.1</v>
      </c>
      <c r="E42" s="81">
        <f>RCF!$C$47</f>
        <v>59.121481687424989</v>
      </c>
      <c r="F42" s="87">
        <f t="shared" si="39"/>
        <v>60.3</v>
      </c>
      <c r="G42" s="81">
        <f>RCF!C$5</f>
        <v>18.559999999999999</v>
      </c>
      <c r="H42" s="87">
        <f t="shared" si="40"/>
        <v>63.3</v>
      </c>
      <c r="I42" s="36">
        <f>RCF!C$37</f>
        <v>19.486666666666668</v>
      </c>
      <c r="J42" s="253">
        <f t="shared" si="41"/>
        <v>62.7</v>
      </c>
      <c r="K42" s="36">
        <f>RCF!C$7</f>
        <v>19.303333333333335</v>
      </c>
      <c r="L42" s="87">
        <f t="shared" si="50"/>
        <v>59.9</v>
      </c>
      <c r="M42" s="36">
        <f>RCF!C$9</f>
        <v>18.422999999999998</v>
      </c>
      <c r="N42" s="87">
        <f t="shared" si="51"/>
        <v>60.8</v>
      </c>
      <c r="O42" s="36">
        <f>RCF!C$11</f>
        <v>18.722000000000001</v>
      </c>
      <c r="P42" s="87">
        <f t="shared" si="53"/>
        <v>64.400000000000006</v>
      </c>
      <c r="Q42" s="36">
        <f>RCF!C$64</f>
        <v>19.826666666666664</v>
      </c>
      <c r="R42" s="147">
        <f t="shared" si="43"/>
        <v>62.1</v>
      </c>
      <c r="S42" s="36">
        <f>RCF!C$13</f>
        <v>19.133333333333333</v>
      </c>
      <c r="T42" s="87">
        <f t="shared" si="52"/>
        <v>57.1</v>
      </c>
      <c r="U42" s="36">
        <f>RCF!C$22</f>
        <v>17.57</v>
      </c>
      <c r="V42" s="87">
        <f t="shared" si="45"/>
        <v>63.8</v>
      </c>
      <c r="W42" s="36">
        <f>RCF!C$26</f>
        <v>19.636666666666667</v>
      </c>
      <c r="X42" s="87">
        <f t="shared" si="46"/>
        <v>65.3</v>
      </c>
      <c r="Y42" s="36">
        <f>RCF!C$33</f>
        <v>20.121274</v>
      </c>
      <c r="Z42" s="87">
        <f t="shared" si="47"/>
        <v>61.5</v>
      </c>
      <c r="AA42" s="36">
        <f>RCF!C$39</f>
        <v>18.946666666666665</v>
      </c>
      <c r="AB42" s="87">
        <f t="shared" si="48"/>
        <v>85.1</v>
      </c>
      <c r="AC42" s="36">
        <f>RCF!C$35</f>
        <v>26.19</v>
      </c>
      <c r="AD42" s="87">
        <f t="shared" si="49"/>
        <v>62</v>
      </c>
      <c r="AE42" s="81">
        <f>RCF!C$41</f>
        <v>19.068114999999999</v>
      </c>
    </row>
    <row r="43" spans="1:31" s="39" customFormat="1" x14ac:dyDescent="0.3">
      <c r="A43" s="236">
        <v>222</v>
      </c>
      <c r="B43" s="145" t="s">
        <v>156</v>
      </c>
      <c r="C43" s="146">
        <v>4</v>
      </c>
      <c r="D43" s="87">
        <f t="shared" si="38"/>
        <v>236.5</v>
      </c>
      <c r="E43" s="81">
        <f>RCF!$C$47</f>
        <v>59.121481687424989</v>
      </c>
      <c r="F43" s="87">
        <f t="shared" si="39"/>
        <v>74.2</v>
      </c>
      <c r="G43" s="81">
        <f>RCF!C$5</f>
        <v>18.559999999999999</v>
      </c>
      <c r="H43" s="87">
        <f t="shared" si="40"/>
        <v>77.900000000000006</v>
      </c>
      <c r="I43" s="36">
        <f>RCF!C$37</f>
        <v>19.486666666666668</v>
      </c>
      <c r="J43" s="253">
        <f t="shared" si="41"/>
        <v>77.2</v>
      </c>
      <c r="K43" s="36">
        <f>RCF!C$7</f>
        <v>19.303333333333335</v>
      </c>
      <c r="L43" s="87">
        <f t="shared" si="50"/>
        <v>73.7</v>
      </c>
      <c r="M43" s="36">
        <f>RCF!C$9</f>
        <v>18.422999999999998</v>
      </c>
      <c r="N43" s="87">
        <f t="shared" si="51"/>
        <v>74.900000000000006</v>
      </c>
      <c r="O43" s="36">
        <f>RCF!C$11</f>
        <v>18.722000000000001</v>
      </c>
      <c r="P43" s="87">
        <f t="shared" si="53"/>
        <v>79.3</v>
      </c>
      <c r="Q43" s="36">
        <f>RCF!C$64</f>
        <v>19.826666666666664</v>
      </c>
      <c r="R43" s="147">
        <f t="shared" si="43"/>
        <v>76.5</v>
      </c>
      <c r="S43" s="36">
        <f>RCF!C$13</f>
        <v>19.133333333333333</v>
      </c>
      <c r="T43" s="87">
        <f t="shared" si="52"/>
        <v>70.3</v>
      </c>
      <c r="U43" s="36">
        <f>RCF!C$22</f>
        <v>17.57</v>
      </c>
      <c r="V43" s="87">
        <f t="shared" si="45"/>
        <v>78.5</v>
      </c>
      <c r="W43" s="36">
        <f>RCF!C$26</f>
        <v>19.636666666666667</v>
      </c>
      <c r="X43" s="87">
        <f t="shared" si="46"/>
        <v>80.400000000000006</v>
      </c>
      <c r="Y43" s="36">
        <f>RCF!C$33</f>
        <v>20.121274</v>
      </c>
      <c r="Z43" s="87">
        <f t="shared" si="47"/>
        <v>75.7</v>
      </c>
      <c r="AA43" s="36">
        <f>RCF!C$39</f>
        <v>18.946666666666665</v>
      </c>
      <c r="AB43" s="87">
        <f t="shared" si="48"/>
        <v>104.7</v>
      </c>
      <c r="AC43" s="36">
        <f>RCF!C$35</f>
        <v>26.19</v>
      </c>
      <c r="AD43" s="87">
        <f t="shared" si="49"/>
        <v>76.3</v>
      </c>
      <c r="AE43" s="81">
        <f>RCF!C$41</f>
        <v>19.068114999999999</v>
      </c>
    </row>
    <row r="44" spans="1:31" s="39" customFormat="1" ht="27.6" x14ac:dyDescent="0.3">
      <c r="A44" s="236">
        <v>227</v>
      </c>
      <c r="B44" s="145" t="s">
        <v>157</v>
      </c>
      <c r="C44" s="146">
        <v>8</v>
      </c>
      <c r="D44" s="87">
        <f t="shared" si="38"/>
        <v>473</v>
      </c>
      <c r="E44" s="81">
        <f>RCF!$C$47</f>
        <v>59.121481687424989</v>
      </c>
      <c r="F44" s="87">
        <f t="shared" si="39"/>
        <v>148.5</v>
      </c>
      <c r="G44" s="81">
        <f>RCF!C$5</f>
        <v>18.559999999999999</v>
      </c>
      <c r="H44" s="87">
        <f t="shared" si="40"/>
        <v>155.80000000000001</v>
      </c>
      <c r="I44" s="36">
        <f>RCF!C$37</f>
        <v>19.486666666666668</v>
      </c>
      <c r="J44" s="253">
        <f t="shared" si="41"/>
        <v>154.4</v>
      </c>
      <c r="K44" s="36">
        <f>RCF!C$7</f>
        <v>19.303333333333335</v>
      </c>
      <c r="L44" s="87">
        <f t="shared" si="50"/>
        <v>147.4</v>
      </c>
      <c r="M44" s="36">
        <f>RCF!C$9</f>
        <v>18.422999999999998</v>
      </c>
      <c r="N44" s="87">
        <f t="shared" si="51"/>
        <v>149.80000000000001</v>
      </c>
      <c r="O44" s="36">
        <f>RCF!C$11</f>
        <v>18.722000000000001</v>
      </c>
      <c r="P44" s="87">
        <f t="shared" si="53"/>
        <v>158.6</v>
      </c>
      <c r="Q44" s="36">
        <f>RCF!C$64</f>
        <v>19.826666666666664</v>
      </c>
      <c r="R44" s="147">
        <f t="shared" si="43"/>
        <v>153</v>
      </c>
      <c r="S44" s="36">
        <f>RCF!C$13</f>
        <v>19.133333333333333</v>
      </c>
      <c r="T44" s="87">
        <f t="shared" si="52"/>
        <v>140.6</v>
      </c>
      <c r="U44" s="36">
        <f>RCF!C$22</f>
        <v>17.57</v>
      </c>
      <c r="V44" s="87">
        <f t="shared" si="45"/>
        <v>157.1</v>
      </c>
      <c r="W44" s="36">
        <f>RCF!C$26</f>
        <v>19.636666666666667</v>
      </c>
      <c r="X44" s="87">
        <f t="shared" si="46"/>
        <v>160.9</v>
      </c>
      <c r="Y44" s="36">
        <f>RCF!C$33</f>
        <v>20.121274</v>
      </c>
      <c r="Z44" s="87">
        <f t="shared" si="47"/>
        <v>151.5</v>
      </c>
      <c r="AA44" s="36">
        <f>RCF!C$39</f>
        <v>18.946666666666665</v>
      </c>
      <c r="AB44" s="87">
        <f t="shared" si="48"/>
        <v>209.5</v>
      </c>
      <c r="AC44" s="36">
        <f>RCF!C$35</f>
        <v>26.19</v>
      </c>
      <c r="AD44" s="87">
        <f t="shared" si="49"/>
        <v>152.5</v>
      </c>
      <c r="AE44" s="81">
        <f>RCF!C$41</f>
        <v>19.068114999999999</v>
      </c>
    </row>
    <row r="45" spans="1:31" s="39" customFormat="1" x14ac:dyDescent="0.3">
      <c r="A45" s="236">
        <v>241</v>
      </c>
      <c r="B45" s="145" t="s">
        <v>158</v>
      </c>
      <c r="C45" s="146">
        <v>6</v>
      </c>
      <c r="D45" s="87">
        <f t="shared" si="38"/>
        <v>354.7</v>
      </c>
      <c r="E45" s="81">
        <f>RCF!$C$47</f>
        <v>59.121481687424989</v>
      </c>
      <c r="F45" s="87">
        <f t="shared" si="39"/>
        <v>111.4</v>
      </c>
      <c r="G45" s="81">
        <f>RCF!C$5</f>
        <v>18.559999999999999</v>
      </c>
      <c r="H45" s="87">
        <f t="shared" si="40"/>
        <v>116.9</v>
      </c>
      <c r="I45" s="36">
        <f>RCF!C$37</f>
        <v>19.486666666666668</v>
      </c>
      <c r="J45" s="253">
        <f t="shared" si="41"/>
        <v>115.8</v>
      </c>
      <c r="K45" s="36">
        <f>RCF!C$7</f>
        <v>19.303333333333335</v>
      </c>
      <c r="L45" s="87">
        <f t="shared" si="50"/>
        <v>110.5</v>
      </c>
      <c r="M45" s="36">
        <f>RCF!C$9</f>
        <v>18.422999999999998</v>
      </c>
      <c r="N45" s="87">
        <f t="shared" si="51"/>
        <v>112.3</v>
      </c>
      <c r="O45" s="36">
        <f>RCF!C$11</f>
        <v>18.722000000000001</v>
      </c>
      <c r="P45" s="87">
        <f t="shared" si="53"/>
        <v>118.9</v>
      </c>
      <c r="Q45" s="36">
        <f>RCF!C$64</f>
        <v>19.826666666666664</v>
      </c>
      <c r="R45" s="147">
        <f t="shared" si="43"/>
        <v>114.8</v>
      </c>
      <c r="S45" s="36">
        <f>RCF!C$13</f>
        <v>19.133333333333333</v>
      </c>
      <c r="T45" s="87">
        <f t="shared" si="52"/>
        <v>105.4</v>
      </c>
      <c r="U45" s="36">
        <f>RCF!C$22</f>
        <v>17.57</v>
      </c>
      <c r="V45" s="87">
        <f t="shared" si="45"/>
        <v>117.8</v>
      </c>
      <c r="W45" s="36">
        <f>RCF!C$26</f>
        <v>19.636666666666667</v>
      </c>
      <c r="X45" s="87">
        <f t="shared" si="46"/>
        <v>120.7</v>
      </c>
      <c r="Y45" s="36">
        <f>RCF!C$33</f>
        <v>20.121274</v>
      </c>
      <c r="Z45" s="87">
        <f t="shared" si="47"/>
        <v>113.6</v>
      </c>
      <c r="AA45" s="36">
        <f>RCF!C$39</f>
        <v>18.946666666666665</v>
      </c>
      <c r="AB45" s="87">
        <f t="shared" si="48"/>
        <v>157.1</v>
      </c>
      <c r="AC45" s="36">
        <f>RCF!C$35</f>
        <v>26.19</v>
      </c>
      <c r="AD45" s="87">
        <f t="shared" si="49"/>
        <v>114.4</v>
      </c>
      <c r="AE45" s="81">
        <f>RCF!C$41</f>
        <v>19.068114999999999</v>
      </c>
    </row>
    <row r="46" spans="1:31" s="39" customFormat="1" x14ac:dyDescent="0.3">
      <c r="A46" s="236">
        <v>242</v>
      </c>
      <c r="B46" s="145" t="s">
        <v>63</v>
      </c>
      <c r="C46" s="146">
        <v>3</v>
      </c>
      <c r="D46" s="87">
        <f t="shared" si="38"/>
        <v>177.4</v>
      </c>
      <c r="E46" s="81">
        <f>RCF!$C$47</f>
        <v>59.121481687424989</v>
      </c>
      <c r="F46" s="87">
        <f t="shared" si="39"/>
        <v>55.7</v>
      </c>
      <c r="G46" s="81">
        <f>RCF!C$5</f>
        <v>18.559999999999999</v>
      </c>
      <c r="H46" s="87">
        <f t="shared" si="40"/>
        <v>58.4</v>
      </c>
      <c r="I46" s="36">
        <f>RCF!C$37</f>
        <v>19.486666666666668</v>
      </c>
      <c r="J46" s="253">
        <f t="shared" si="41"/>
        <v>57.9</v>
      </c>
      <c r="K46" s="36">
        <f>RCF!C$7</f>
        <v>19.303333333333335</v>
      </c>
      <c r="L46" s="87">
        <f t="shared" si="50"/>
        <v>55.3</v>
      </c>
      <c r="M46" s="36">
        <f>RCF!C$9</f>
        <v>18.422999999999998</v>
      </c>
      <c r="N46" s="87">
        <f t="shared" si="51"/>
        <v>56.2</v>
      </c>
      <c r="O46" s="36">
        <f>RCF!C$11</f>
        <v>18.722000000000001</v>
      </c>
      <c r="P46" s="87">
        <f t="shared" si="53"/>
        <v>59.4</v>
      </c>
      <c r="Q46" s="36">
        <f>RCF!C$64</f>
        <v>19.826666666666664</v>
      </c>
      <c r="R46" s="147">
        <f t="shared" si="43"/>
        <v>57.4</v>
      </c>
      <c r="S46" s="36">
        <f>RCF!C$13</f>
        <v>19.133333333333333</v>
      </c>
      <c r="T46" s="87">
        <f t="shared" si="52"/>
        <v>52.7</v>
      </c>
      <c r="U46" s="36">
        <f>RCF!C$22</f>
        <v>17.57</v>
      </c>
      <c r="V46" s="87">
        <f t="shared" si="45"/>
        <v>58.9</v>
      </c>
      <c r="W46" s="36">
        <f>RCF!C$26</f>
        <v>19.636666666666667</v>
      </c>
      <c r="X46" s="87">
        <f t="shared" si="46"/>
        <v>60.3</v>
      </c>
      <c r="Y46" s="36">
        <f>RCF!C$33</f>
        <v>20.121274</v>
      </c>
      <c r="Z46" s="87">
        <f t="shared" si="47"/>
        <v>56.8</v>
      </c>
      <c r="AA46" s="36">
        <f>RCF!C$39</f>
        <v>18.946666666666665</v>
      </c>
      <c r="AB46" s="87">
        <f t="shared" si="48"/>
        <v>78.5</v>
      </c>
      <c r="AC46" s="36">
        <f>RCF!C$35</f>
        <v>26.19</v>
      </c>
      <c r="AD46" s="87">
        <f t="shared" si="49"/>
        <v>57.2</v>
      </c>
      <c r="AE46" s="81">
        <f>RCF!C$41</f>
        <v>19.068114999999999</v>
      </c>
    </row>
    <row r="47" spans="1:31" s="39" customFormat="1" x14ac:dyDescent="0.3">
      <c r="A47" s="236">
        <v>243</v>
      </c>
      <c r="B47" s="145" t="s">
        <v>159</v>
      </c>
      <c r="C47" s="146">
        <v>42</v>
      </c>
      <c r="D47" s="87">
        <f t="shared" si="38"/>
        <v>2483.1</v>
      </c>
      <c r="E47" s="81">
        <f>RCF!$C$47</f>
        <v>59.121481687424989</v>
      </c>
      <c r="F47" s="87">
        <f t="shared" si="39"/>
        <v>779.5</v>
      </c>
      <c r="G47" s="81">
        <f>RCF!C$5</f>
        <v>18.559999999999999</v>
      </c>
      <c r="H47" s="87">
        <f t="shared" si="40"/>
        <v>818.4</v>
      </c>
      <c r="I47" s="36">
        <f>RCF!C$37</f>
        <v>19.486666666666668</v>
      </c>
      <c r="J47" s="253">
        <f t="shared" si="41"/>
        <v>810.7</v>
      </c>
      <c r="K47" s="36">
        <f>RCF!C$7</f>
        <v>19.303333333333335</v>
      </c>
      <c r="L47" s="87">
        <f t="shared" si="50"/>
        <v>773.8</v>
      </c>
      <c r="M47" s="36">
        <f>RCF!C$9</f>
        <v>18.422999999999998</v>
      </c>
      <c r="N47" s="87">
        <f t="shared" si="51"/>
        <v>786.3</v>
      </c>
      <c r="O47" s="36">
        <f>RCF!C$11</f>
        <v>18.722000000000001</v>
      </c>
      <c r="P47" s="87">
        <f t="shared" si="53"/>
        <v>832.7</v>
      </c>
      <c r="Q47" s="36">
        <f>RCF!C$64</f>
        <v>19.826666666666664</v>
      </c>
      <c r="R47" s="147">
        <f t="shared" si="43"/>
        <v>803.6</v>
      </c>
      <c r="S47" s="36">
        <f>RCF!C$13</f>
        <v>19.133333333333333</v>
      </c>
      <c r="T47" s="87">
        <f t="shared" si="52"/>
        <v>737.9</v>
      </c>
      <c r="U47" s="36">
        <f>RCF!C$22</f>
        <v>17.57</v>
      </c>
      <c r="V47" s="87">
        <f t="shared" si="45"/>
        <v>824.7</v>
      </c>
      <c r="W47" s="36">
        <f>RCF!C$26</f>
        <v>19.636666666666667</v>
      </c>
      <c r="X47" s="87">
        <f t="shared" si="46"/>
        <v>845</v>
      </c>
      <c r="Y47" s="36">
        <f>RCF!C$33</f>
        <v>20.121274</v>
      </c>
      <c r="Z47" s="87">
        <f t="shared" si="47"/>
        <v>795.7</v>
      </c>
      <c r="AA47" s="36">
        <f>RCF!C$39</f>
        <v>18.946666666666665</v>
      </c>
      <c r="AB47" s="87">
        <f t="shared" si="48"/>
        <v>1099.9000000000001</v>
      </c>
      <c r="AC47" s="36">
        <f>RCF!C$35</f>
        <v>26.19</v>
      </c>
      <c r="AD47" s="87">
        <f t="shared" si="49"/>
        <v>800.9</v>
      </c>
      <c r="AE47" s="81">
        <f>RCF!C$41</f>
        <v>19.068114999999999</v>
      </c>
    </row>
    <row r="48" spans="1:31" s="39" customFormat="1" ht="27.6" x14ac:dyDescent="0.3">
      <c r="A48" s="236">
        <v>245</v>
      </c>
      <c r="B48" s="145" t="s">
        <v>160</v>
      </c>
      <c r="C48" s="146">
        <v>14</v>
      </c>
      <c r="D48" s="87">
        <f t="shared" si="38"/>
        <v>827.7</v>
      </c>
      <c r="E48" s="81">
        <f>RCF!$C$47</f>
        <v>59.121481687424989</v>
      </c>
      <c r="F48" s="87">
        <f t="shared" si="39"/>
        <v>259.8</v>
      </c>
      <c r="G48" s="81">
        <f>RCF!C$5</f>
        <v>18.559999999999999</v>
      </c>
      <c r="H48" s="87">
        <f t="shared" si="40"/>
        <v>272.8</v>
      </c>
      <c r="I48" s="36">
        <f>RCF!C$37</f>
        <v>19.486666666666668</v>
      </c>
      <c r="J48" s="253">
        <f t="shared" si="41"/>
        <v>270.2</v>
      </c>
      <c r="K48" s="36">
        <f>RCF!C$7</f>
        <v>19.303333333333335</v>
      </c>
      <c r="L48" s="87">
        <f t="shared" si="50"/>
        <v>257.89999999999998</v>
      </c>
      <c r="M48" s="36">
        <f>RCF!C$9</f>
        <v>18.422999999999998</v>
      </c>
      <c r="N48" s="87">
        <f t="shared" si="51"/>
        <v>262.10000000000002</v>
      </c>
      <c r="O48" s="36">
        <f>RCF!C$11</f>
        <v>18.722000000000001</v>
      </c>
      <c r="P48" s="87">
        <f t="shared" si="53"/>
        <v>277.5</v>
      </c>
      <c r="Q48" s="36">
        <f>RCF!C$64</f>
        <v>19.826666666666664</v>
      </c>
      <c r="R48" s="147">
        <f t="shared" si="43"/>
        <v>267.8</v>
      </c>
      <c r="S48" s="36">
        <f>RCF!C$13</f>
        <v>19.133333333333333</v>
      </c>
      <c r="T48" s="87">
        <f t="shared" si="52"/>
        <v>246</v>
      </c>
      <c r="U48" s="36">
        <f>RCF!C$22</f>
        <v>17.57</v>
      </c>
      <c r="V48" s="87">
        <f t="shared" si="45"/>
        <v>274.89999999999998</v>
      </c>
      <c r="W48" s="36">
        <f>RCF!C$26</f>
        <v>19.636666666666667</v>
      </c>
      <c r="X48" s="87">
        <f t="shared" si="46"/>
        <v>281.60000000000002</v>
      </c>
      <c r="Y48" s="36">
        <f>RCF!C$33</f>
        <v>20.121274</v>
      </c>
      <c r="Z48" s="87">
        <f t="shared" si="47"/>
        <v>265.2</v>
      </c>
      <c r="AA48" s="36">
        <f>RCF!C$39</f>
        <v>18.946666666666665</v>
      </c>
      <c r="AB48" s="87">
        <f t="shared" si="48"/>
        <v>366.6</v>
      </c>
      <c r="AC48" s="36">
        <f>RCF!C$35</f>
        <v>26.19</v>
      </c>
      <c r="AD48" s="87">
        <f t="shared" si="49"/>
        <v>267</v>
      </c>
      <c r="AE48" s="81">
        <f>RCF!C$41</f>
        <v>19.068114999999999</v>
      </c>
    </row>
    <row r="49" spans="1:31" s="39" customFormat="1" ht="27.6" x14ac:dyDescent="0.3">
      <c r="A49" s="236">
        <v>246</v>
      </c>
      <c r="B49" s="145" t="s">
        <v>161</v>
      </c>
      <c r="C49" s="146">
        <v>7</v>
      </c>
      <c r="D49" s="87">
        <f t="shared" si="38"/>
        <v>413.9</v>
      </c>
      <c r="E49" s="81">
        <f>RCF!$C$47</f>
        <v>59.121481687424989</v>
      </c>
      <c r="F49" s="87">
        <f t="shared" si="39"/>
        <v>129.9</v>
      </c>
      <c r="G49" s="81">
        <f>RCF!C$5</f>
        <v>18.559999999999999</v>
      </c>
      <c r="H49" s="87">
        <f t="shared" si="40"/>
        <v>136.4</v>
      </c>
      <c r="I49" s="36">
        <f>RCF!C$37</f>
        <v>19.486666666666668</v>
      </c>
      <c r="J49" s="253">
        <f t="shared" si="41"/>
        <v>135.1</v>
      </c>
      <c r="K49" s="36">
        <f>RCF!C$7</f>
        <v>19.303333333333335</v>
      </c>
      <c r="L49" s="87">
        <f t="shared" si="50"/>
        <v>129</v>
      </c>
      <c r="M49" s="36">
        <f>RCF!C$9</f>
        <v>18.422999999999998</v>
      </c>
      <c r="N49" s="87">
        <f t="shared" si="51"/>
        <v>131.1</v>
      </c>
      <c r="O49" s="36">
        <f>RCF!C$11</f>
        <v>18.722000000000001</v>
      </c>
      <c r="P49" s="87">
        <f t="shared" si="53"/>
        <v>138.69999999999999</v>
      </c>
      <c r="Q49" s="36">
        <f>RCF!C$64</f>
        <v>19.826666666666664</v>
      </c>
      <c r="R49" s="147">
        <f t="shared" si="43"/>
        <v>133.9</v>
      </c>
      <c r="S49" s="36">
        <f>RCF!C$13</f>
        <v>19.133333333333333</v>
      </c>
      <c r="T49" s="87">
        <f t="shared" si="52"/>
        <v>123</v>
      </c>
      <c r="U49" s="36">
        <f>RCF!C$22</f>
        <v>17.57</v>
      </c>
      <c r="V49" s="87">
        <f t="shared" si="45"/>
        <v>137.5</v>
      </c>
      <c r="W49" s="36">
        <f>RCF!C$26</f>
        <v>19.636666666666667</v>
      </c>
      <c r="X49" s="87">
        <f t="shared" si="46"/>
        <v>140.80000000000001</v>
      </c>
      <c r="Y49" s="36">
        <f>RCF!C$33</f>
        <v>20.121274</v>
      </c>
      <c r="Z49" s="87">
        <f t="shared" si="47"/>
        <v>132.6</v>
      </c>
      <c r="AA49" s="36">
        <f>RCF!C$39</f>
        <v>18.946666666666665</v>
      </c>
      <c r="AB49" s="87">
        <f t="shared" si="48"/>
        <v>183.3</v>
      </c>
      <c r="AC49" s="36">
        <f>RCF!C$35</f>
        <v>26.19</v>
      </c>
      <c r="AD49" s="87">
        <f t="shared" si="49"/>
        <v>133.5</v>
      </c>
      <c r="AE49" s="81">
        <f>RCF!C$41</f>
        <v>19.068114999999999</v>
      </c>
    </row>
    <row r="50" spans="1:31" s="39" customFormat="1" x14ac:dyDescent="0.3">
      <c r="A50" s="236">
        <v>255</v>
      </c>
      <c r="B50" s="145" t="s">
        <v>7</v>
      </c>
      <c r="C50" s="146">
        <v>20</v>
      </c>
      <c r="D50" s="87">
        <f t="shared" si="38"/>
        <v>1182.4000000000001</v>
      </c>
      <c r="E50" s="81">
        <f>RCF!$C$47</f>
        <v>59.121481687424989</v>
      </c>
      <c r="F50" s="87">
        <f t="shared" si="39"/>
        <v>371.2</v>
      </c>
      <c r="G50" s="81">
        <f>RCF!C$5</f>
        <v>18.559999999999999</v>
      </c>
      <c r="H50" s="87">
        <f t="shared" si="40"/>
        <v>389.7</v>
      </c>
      <c r="I50" s="36">
        <f>RCF!C$37</f>
        <v>19.486666666666668</v>
      </c>
      <c r="J50" s="253">
        <f t="shared" si="41"/>
        <v>386</v>
      </c>
      <c r="K50" s="36">
        <f>RCF!C$7</f>
        <v>19.303333333333335</v>
      </c>
      <c r="L50" s="87">
        <f t="shared" si="50"/>
        <v>368.5</v>
      </c>
      <c r="M50" s="36">
        <f>RCF!C$9</f>
        <v>18.422999999999998</v>
      </c>
      <c r="N50" s="87">
        <f t="shared" si="51"/>
        <v>374.4</v>
      </c>
      <c r="O50" s="36">
        <f>RCF!C$11</f>
        <v>18.722000000000001</v>
      </c>
      <c r="P50" s="87">
        <f t="shared" si="53"/>
        <v>396.5</v>
      </c>
      <c r="Q50" s="36">
        <f>RCF!C$64</f>
        <v>19.826666666666664</v>
      </c>
      <c r="R50" s="147">
        <f t="shared" si="43"/>
        <v>382.6</v>
      </c>
      <c r="S50" s="36">
        <f>RCF!C$13</f>
        <v>19.133333333333333</v>
      </c>
      <c r="T50" s="87">
        <f t="shared" si="52"/>
        <v>351.4</v>
      </c>
      <c r="U50" s="36">
        <f>RCF!C$22</f>
        <v>17.57</v>
      </c>
      <c r="V50" s="87">
        <f t="shared" si="45"/>
        <v>392.7</v>
      </c>
      <c r="W50" s="36">
        <f>RCF!C$26</f>
        <v>19.636666666666667</v>
      </c>
      <c r="X50" s="87">
        <f t="shared" si="46"/>
        <v>402.4</v>
      </c>
      <c r="Y50" s="36">
        <f>RCF!C$33</f>
        <v>20.121274</v>
      </c>
      <c r="Z50" s="87">
        <f t="shared" si="47"/>
        <v>378.9</v>
      </c>
      <c r="AA50" s="36">
        <f>RCF!C$39</f>
        <v>18.946666666666665</v>
      </c>
      <c r="AB50" s="87">
        <f t="shared" si="48"/>
        <v>523.79999999999995</v>
      </c>
      <c r="AC50" s="36">
        <f>RCF!C$35</f>
        <v>26.19</v>
      </c>
      <c r="AD50" s="87">
        <f t="shared" si="49"/>
        <v>381.4</v>
      </c>
      <c r="AE50" s="81">
        <f>RCF!C$41</f>
        <v>19.068114999999999</v>
      </c>
    </row>
    <row r="51" spans="1:31" s="39" customFormat="1" x14ac:dyDescent="0.3">
      <c r="A51" s="236">
        <v>257</v>
      </c>
      <c r="B51" s="145" t="s">
        <v>7</v>
      </c>
      <c r="C51" s="146">
        <v>20</v>
      </c>
      <c r="D51" s="87">
        <f t="shared" ref="D51" si="54">ROUND(E51*C51,1)</f>
        <v>1182.4000000000001</v>
      </c>
      <c r="E51" s="81">
        <f>RCF!$C$47</f>
        <v>59.121481687424989</v>
      </c>
      <c r="F51" s="87">
        <f t="shared" ref="F51" si="55">ROUND(G51*$C51,1)</f>
        <v>371.2</v>
      </c>
      <c r="G51" s="81">
        <f>RCF!C$5</f>
        <v>18.559999999999999</v>
      </c>
      <c r="H51" s="87">
        <f t="shared" ref="H51" si="56">ROUNDDOWN(I51*C51,1)</f>
        <v>389.7</v>
      </c>
      <c r="I51" s="36">
        <f>RCF!C$37</f>
        <v>19.486666666666668</v>
      </c>
      <c r="J51" s="253">
        <f t="shared" ref="J51" si="57">ROUNDDOWN(C51*K51,1)</f>
        <v>386</v>
      </c>
      <c r="K51" s="36">
        <f>RCF!C$7</f>
        <v>19.303333333333335</v>
      </c>
      <c r="L51" s="87">
        <f t="shared" ref="L51" si="58">ROUND(M51*$C51,1)</f>
        <v>368.5</v>
      </c>
      <c r="M51" s="36">
        <f>RCF!C$9</f>
        <v>18.422999999999998</v>
      </c>
      <c r="N51" s="87">
        <f t="shared" ref="N51" si="59">ROUND(O51*$C51,1)</f>
        <v>374.4</v>
      </c>
      <c r="O51" s="36">
        <f>RCF!C$11</f>
        <v>18.722000000000001</v>
      </c>
      <c r="P51" s="87">
        <f t="shared" ref="P51" si="60">ROUNDDOWN(Q51*C51,1)</f>
        <v>396.5</v>
      </c>
      <c r="Q51" s="36">
        <f>RCF!C$64</f>
        <v>19.826666666666664</v>
      </c>
      <c r="R51" s="147">
        <f t="shared" ref="R51" si="61">ROUNDDOWN(C51*S51,1)</f>
        <v>382.6</v>
      </c>
      <c r="S51" s="36">
        <f>RCF!C$13</f>
        <v>19.133333333333333</v>
      </c>
      <c r="T51" s="87">
        <f t="shared" ref="T51" si="62">ROUND(U51*C51,1)</f>
        <v>351.4</v>
      </c>
      <c r="U51" s="36">
        <f>RCF!C$22</f>
        <v>17.57</v>
      </c>
      <c r="V51" s="87">
        <f t="shared" ref="V51" si="63">ROUND(W51*C51,1)</f>
        <v>392.7</v>
      </c>
      <c r="W51" s="36">
        <f>RCF!C$26</f>
        <v>19.636666666666667</v>
      </c>
      <c r="X51" s="87">
        <f t="shared" ref="X51" si="64">ROUNDDOWN(Y51*C51,1)</f>
        <v>402.4</v>
      </c>
      <c r="Y51" s="36">
        <f>RCF!C$33</f>
        <v>20.121274</v>
      </c>
      <c r="Z51" s="87">
        <f t="shared" ref="Z51" si="65">ROUNDDOWN(AA51*C51,1)</f>
        <v>378.9</v>
      </c>
      <c r="AA51" s="36">
        <f>RCF!C$39</f>
        <v>18.946666666666665</v>
      </c>
      <c r="AB51" s="87">
        <f t="shared" ref="AB51" si="66">ROUNDDOWN(C51*AC51,1)</f>
        <v>523.79999999999995</v>
      </c>
      <c r="AC51" s="36">
        <f>RCF!C$35</f>
        <v>26.19</v>
      </c>
      <c r="AD51" s="87">
        <f t="shared" ref="AD51" si="67">ROUND(AE51*C51,1)</f>
        <v>381.4</v>
      </c>
      <c r="AE51" s="81">
        <f>RCF!C$41</f>
        <v>19.068114999999999</v>
      </c>
    </row>
    <row r="52" spans="1:31" s="39" customFormat="1" x14ac:dyDescent="0.3">
      <c r="A52" s="236">
        <v>259</v>
      </c>
      <c r="B52" s="145" t="s">
        <v>12</v>
      </c>
      <c r="C52" s="146">
        <v>20</v>
      </c>
      <c r="D52" s="87">
        <f t="shared" si="38"/>
        <v>1182.4000000000001</v>
      </c>
      <c r="E52" s="81">
        <f>RCF!$C$47</f>
        <v>59.121481687424989</v>
      </c>
      <c r="F52" s="87">
        <f t="shared" si="39"/>
        <v>371.2</v>
      </c>
      <c r="G52" s="81">
        <f>RCF!C$5</f>
        <v>18.559999999999999</v>
      </c>
      <c r="H52" s="87">
        <f t="shared" si="40"/>
        <v>389.7</v>
      </c>
      <c r="I52" s="36">
        <f>RCF!C$37</f>
        <v>19.486666666666668</v>
      </c>
      <c r="J52" s="253">
        <f t="shared" si="41"/>
        <v>386</v>
      </c>
      <c r="K52" s="36">
        <f>RCF!C$7</f>
        <v>19.303333333333335</v>
      </c>
      <c r="L52" s="87">
        <f t="shared" si="50"/>
        <v>368.5</v>
      </c>
      <c r="M52" s="36">
        <f>RCF!C$9</f>
        <v>18.422999999999998</v>
      </c>
      <c r="N52" s="87">
        <f t="shared" si="51"/>
        <v>374.4</v>
      </c>
      <c r="O52" s="36">
        <f>RCF!C$11</f>
        <v>18.722000000000001</v>
      </c>
      <c r="P52" s="87">
        <f t="shared" si="53"/>
        <v>396.5</v>
      </c>
      <c r="Q52" s="36">
        <f>RCF!C$64</f>
        <v>19.826666666666664</v>
      </c>
      <c r="R52" s="147">
        <f t="shared" si="43"/>
        <v>382.6</v>
      </c>
      <c r="S52" s="36">
        <f>RCF!C$13</f>
        <v>19.133333333333333</v>
      </c>
      <c r="T52" s="87">
        <f t="shared" si="52"/>
        <v>351.4</v>
      </c>
      <c r="U52" s="36">
        <f>RCF!C$22</f>
        <v>17.57</v>
      </c>
      <c r="V52" s="87">
        <f t="shared" si="45"/>
        <v>392.7</v>
      </c>
      <c r="W52" s="36">
        <f>RCF!C$26</f>
        <v>19.636666666666667</v>
      </c>
      <c r="X52" s="87">
        <f t="shared" si="46"/>
        <v>402.4</v>
      </c>
      <c r="Y52" s="36">
        <f>RCF!C$33</f>
        <v>20.121274</v>
      </c>
      <c r="Z52" s="87">
        <f t="shared" si="47"/>
        <v>378.9</v>
      </c>
      <c r="AA52" s="36">
        <f>RCF!C$39</f>
        <v>18.946666666666665</v>
      </c>
      <c r="AB52" s="87">
        <f t="shared" si="48"/>
        <v>523.79999999999995</v>
      </c>
      <c r="AC52" s="36">
        <f>RCF!C$35</f>
        <v>26.19</v>
      </c>
      <c r="AD52" s="87">
        <f t="shared" si="49"/>
        <v>381.4</v>
      </c>
      <c r="AE52" s="81">
        <f>RCF!C$41</f>
        <v>19.068114999999999</v>
      </c>
    </row>
    <row r="53" spans="1:31" s="39" customFormat="1" x14ac:dyDescent="0.3">
      <c r="A53" s="236">
        <v>261</v>
      </c>
      <c r="B53" s="145" t="s">
        <v>162</v>
      </c>
      <c r="C53" s="146">
        <v>31</v>
      </c>
      <c r="D53" s="87">
        <f t="shared" si="38"/>
        <v>1832.8</v>
      </c>
      <c r="E53" s="81">
        <f>RCF!$C$47</f>
        <v>59.121481687424989</v>
      </c>
      <c r="F53" s="87">
        <f t="shared" si="39"/>
        <v>575.4</v>
      </c>
      <c r="G53" s="81">
        <f>RCF!C$5</f>
        <v>18.559999999999999</v>
      </c>
      <c r="H53" s="87">
        <f t="shared" si="40"/>
        <v>604</v>
      </c>
      <c r="I53" s="36">
        <f>RCF!C$37</f>
        <v>19.486666666666668</v>
      </c>
      <c r="J53" s="253">
        <f t="shared" si="41"/>
        <v>598.4</v>
      </c>
      <c r="K53" s="36">
        <f>RCF!C$7</f>
        <v>19.303333333333335</v>
      </c>
      <c r="L53" s="87">
        <f t="shared" si="50"/>
        <v>571.1</v>
      </c>
      <c r="M53" s="36">
        <f>RCF!C$9</f>
        <v>18.422999999999998</v>
      </c>
      <c r="N53" s="87">
        <f t="shared" si="51"/>
        <v>580.4</v>
      </c>
      <c r="O53" s="36">
        <f>RCF!C$11</f>
        <v>18.722000000000001</v>
      </c>
      <c r="P53" s="87">
        <f t="shared" si="53"/>
        <v>614.6</v>
      </c>
      <c r="Q53" s="36">
        <f>RCF!C$64</f>
        <v>19.826666666666664</v>
      </c>
      <c r="R53" s="147">
        <f t="shared" si="43"/>
        <v>593.1</v>
      </c>
      <c r="S53" s="36">
        <f>RCF!C$13</f>
        <v>19.133333333333333</v>
      </c>
      <c r="T53" s="87">
        <f t="shared" si="52"/>
        <v>544.70000000000005</v>
      </c>
      <c r="U53" s="36">
        <f>RCF!C$22</f>
        <v>17.57</v>
      </c>
      <c r="V53" s="87">
        <f t="shared" si="45"/>
        <v>608.70000000000005</v>
      </c>
      <c r="W53" s="36">
        <f>RCF!C$26</f>
        <v>19.636666666666667</v>
      </c>
      <c r="X53" s="87">
        <f t="shared" si="46"/>
        <v>623.70000000000005</v>
      </c>
      <c r="Y53" s="36">
        <f>RCF!C$33</f>
        <v>20.121274</v>
      </c>
      <c r="Z53" s="87">
        <f t="shared" si="47"/>
        <v>587.29999999999995</v>
      </c>
      <c r="AA53" s="36">
        <f>RCF!C$39</f>
        <v>18.946666666666665</v>
      </c>
      <c r="AB53" s="87">
        <f t="shared" si="48"/>
        <v>811.8</v>
      </c>
      <c r="AC53" s="36">
        <f>RCF!C$35</f>
        <v>26.19</v>
      </c>
      <c r="AD53" s="87">
        <f t="shared" si="49"/>
        <v>591.1</v>
      </c>
      <c r="AE53" s="81">
        <f>RCF!C$41</f>
        <v>19.068114999999999</v>
      </c>
    </row>
    <row r="54" spans="1:31" s="39" customFormat="1" x14ac:dyDescent="0.3">
      <c r="A54" s="236">
        <v>300</v>
      </c>
      <c r="B54" s="145" t="s">
        <v>64</v>
      </c>
      <c r="C54" s="146">
        <v>14</v>
      </c>
      <c r="D54" s="87">
        <f t="shared" si="38"/>
        <v>827.7</v>
      </c>
      <c r="E54" s="81">
        <f>RCF!$C$47</f>
        <v>59.121481687424989</v>
      </c>
      <c r="F54" s="87">
        <f t="shared" si="39"/>
        <v>259.8</v>
      </c>
      <c r="G54" s="81">
        <f>RCF!C$5</f>
        <v>18.559999999999999</v>
      </c>
      <c r="H54" s="87">
        <f t="shared" si="40"/>
        <v>272.8</v>
      </c>
      <c r="I54" s="36">
        <f>RCF!C$37</f>
        <v>19.486666666666668</v>
      </c>
      <c r="J54" s="253">
        <f t="shared" si="41"/>
        <v>270.2</v>
      </c>
      <c r="K54" s="36">
        <f>RCF!C$7</f>
        <v>19.303333333333335</v>
      </c>
      <c r="L54" s="87">
        <f t="shared" si="50"/>
        <v>257.89999999999998</v>
      </c>
      <c r="M54" s="36">
        <f>RCF!C$9</f>
        <v>18.422999999999998</v>
      </c>
      <c r="N54" s="87">
        <f t="shared" si="51"/>
        <v>262.10000000000002</v>
      </c>
      <c r="O54" s="36">
        <f>RCF!C$11</f>
        <v>18.722000000000001</v>
      </c>
      <c r="P54" s="87">
        <f t="shared" si="53"/>
        <v>277.5</v>
      </c>
      <c r="Q54" s="36">
        <f>RCF!C$64</f>
        <v>19.826666666666664</v>
      </c>
      <c r="R54" s="147">
        <f t="shared" si="43"/>
        <v>267.8</v>
      </c>
      <c r="S54" s="36">
        <f>RCF!C$13</f>
        <v>19.133333333333333</v>
      </c>
      <c r="T54" s="87">
        <f t="shared" si="52"/>
        <v>246</v>
      </c>
      <c r="U54" s="36">
        <f>RCF!C$22</f>
        <v>17.57</v>
      </c>
      <c r="V54" s="87">
        <f t="shared" si="45"/>
        <v>274.89999999999998</v>
      </c>
      <c r="W54" s="36">
        <f>RCF!C$26</f>
        <v>19.636666666666667</v>
      </c>
      <c r="X54" s="87">
        <f t="shared" si="46"/>
        <v>281.60000000000002</v>
      </c>
      <c r="Y54" s="36">
        <f>RCF!C$33</f>
        <v>20.121274</v>
      </c>
      <c r="Z54" s="87">
        <f t="shared" si="47"/>
        <v>265.2</v>
      </c>
      <c r="AA54" s="36">
        <f>RCF!C$39</f>
        <v>18.946666666666665</v>
      </c>
      <c r="AB54" s="87">
        <f t="shared" si="48"/>
        <v>366.6</v>
      </c>
      <c r="AC54" s="36">
        <f>RCF!C$35</f>
        <v>26.19</v>
      </c>
      <c r="AD54" s="87">
        <f t="shared" si="49"/>
        <v>267</v>
      </c>
      <c r="AE54" s="81">
        <f>RCF!C$41</f>
        <v>19.068114999999999</v>
      </c>
    </row>
    <row r="55" spans="1:31" s="39" customFormat="1" x14ac:dyDescent="0.3">
      <c r="A55" s="236">
        <v>301</v>
      </c>
      <c r="B55" s="145" t="s">
        <v>65</v>
      </c>
      <c r="C55" s="146">
        <v>7</v>
      </c>
      <c r="D55" s="87">
        <f t="shared" si="38"/>
        <v>413.9</v>
      </c>
      <c r="E55" s="81">
        <f>RCF!$C$47</f>
        <v>59.121481687424989</v>
      </c>
      <c r="F55" s="87">
        <f t="shared" si="39"/>
        <v>129.9</v>
      </c>
      <c r="G55" s="81">
        <f>RCF!C$5</f>
        <v>18.559999999999999</v>
      </c>
      <c r="H55" s="87">
        <f t="shared" si="40"/>
        <v>136.4</v>
      </c>
      <c r="I55" s="36">
        <f>RCF!C$37</f>
        <v>19.486666666666668</v>
      </c>
      <c r="J55" s="253">
        <f t="shared" si="41"/>
        <v>135.1</v>
      </c>
      <c r="K55" s="36">
        <f>RCF!C$7</f>
        <v>19.303333333333335</v>
      </c>
      <c r="L55" s="87">
        <f t="shared" si="50"/>
        <v>129</v>
      </c>
      <c r="M55" s="36">
        <f>RCF!C$9</f>
        <v>18.422999999999998</v>
      </c>
      <c r="N55" s="87">
        <f t="shared" si="51"/>
        <v>131.1</v>
      </c>
      <c r="O55" s="36">
        <f>RCF!C$11</f>
        <v>18.722000000000001</v>
      </c>
      <c r="P55" s="87">
        <f t="shared" si="53"/>
        <v>138.69999999999999</v>
      </c>
      <c r="Q55" s="36">
        <f>RCF!C$64</f>
        <v>19.826666666666664</v>
      </c>
      <c r="R55" s="147">
        <f t="shared" si="43"/>
        <v>133.9</v>
      </c>
      <c r="S55" s="36">
        <f>RCF!C$13</f>
        <v>19.133333333333333</v>
      </c>
      <c r="T55" s="87">
        <f t="shared" si="52"/>
        <v>123</v>
      </c>
      <c r="U55" s="36">
        <f>RCF!C$22</f>
        <v>17.57</v>
      </c>
      <c r="V55" s="87">
        <f t="shared" si="45"/>
        <v>137.5</v>
      </c>
      <c r="W55" s="36">
        <f>RCF!C$26</f>
        <v>19.636666666666667</v>
      </c>
      <c r="X55" s="87">
        <f t="shared" si="46"/>
        <v>140.80000000000001</v>
      </c>
      <c r="Y55" s="36">
        <f>RCF!C$33</f>
        <v>20.121274</v>
      </c>
      <c r="Z55" s="87">
        <f t="shared" si="47"/>
        <v>132.6</v>
      </c>
      <c r="AA55" s="36">
        <f>RCF!C$39</f>
        <v>18.946666666666665</v>
      </c>
      <c r="AB55" s="87">
        <f t="shared" si="48"/>
        <v>183.3</v>
      </c>
      <c r="AC55" s="36">
        <f>RCF!C$35</f>
        <v>26.19</v>
      </c>
      <c r="AD55" s="87">
        <f t="shared" si="49"/>
        <v>133.5</v>
      </c>
      <c r="AE55" s="81">
        <f>RCF!C$41</f>
        <v>19.068114999999999</v>
      </c>
    </row>
    <row r="56" spans="1:31" s="39" customFormat="1" x14ac:dyDescent="0.3">
      <c r="A56" s="236">
        <v>302</v>
      </c>
      <c r="B56" s="145" t="s">
        <v>13</v>
      </c>
      <c r="C56" s="146">
        <v>64</v>
      </c>
      <c r="D56" s="87">
        <f t="shared" si="38"/>
        <v>3783.8</v>
      </c>
      <c r="E56" s="81">
        <f>RCF!$C$47</f>
        <v>59.121481687424989</v>
      </c>
      <c r="F56" s="87">
        <f t="shared" si="39"/>
        <v>1187.8</v>
      </c>
      <c r="G56" s="81">
        <f>RCF!C$5</f>
        <v>18.559999999999999</v>
      </c>
      <c r="H56" s="87">
        <f t="shared" si="40"/>
        <v>1247.0999999999999</v>
      </c>
      <c r="I56" s="36">
        <f>RCF!C$37</f>
        <v>19.486666666666668</v>
      </c>
      <c r="J56" s="253">
        <f t="shared" si="41"/>
        <v>1235.4000000000001</v>
      </c>
      <c r="K56" s="36">
        <f>RCF!C$7</f>
        <v>19.303333333333335</v>
      </c>
      <c r="L56" s="87">
        <f t="shared" si="50"/>
        <v>1179.0999999999999</v>
      </c>
      <c r="M56" s="36">
        <f>RCF!C$9</f>
        <v>18.422999999999998</v>
      </c>
      <c r="N56" s="87">
        <f t="shared" si="51"/>
        <v>1198.2</v>
      </c>
      <c r="O56" s="36">
        <f>RCF!C$11</f>
        <v>18.722000000000001</v>
      </c>
      <c r="P56" s="87">
        <f t="shared" si="53"/>
        <v>1268.9000000000001</v>
      </c>
      <c r="Q56" s="36">
        <f>RCF!C$64</f>
        <v>19.826666666666664</v>
      </c>
      <c r="R56" s="147">
        <f t="shared" si="43"/>
        <v>1224.5</v>
      </c>
      <c r="S56" s="36">
        <f>RCF!C$13</f>
        <v>19.133333333333333</v>
      </c>
      <c r="T56" s="87">
        <f t="shared" si="52"/>
        <v>1124.5</v>
      </c>
      <c r="U56" s="36">
        <f>RCF!C$22</f>
        <v>17.57</v>
      </c>
      <c r="V56" s="87">
        <f t="shared" si="45"/>
        <v>1256.7</v>
      </c>
      <c r="W56" s="36">
        <f>RCF!C$26</f>
        <v>19.636666666666667</v>
      </c>
      <c r="X56" s="87">
        <f t="shared" si="46"/>
        <v>1287.7</v>
      </c>
      <c r="Y56" s="36">
        <f>RCF!C$33</f>
        <v>20.121274</v>
      </c>
      <c r="Z56" s="87">
        <f t="shared" si="47"/>
        <v>1212.5</v>
      </c>
      <c r="AA56" s="36">
        <f>RCF!C$39</f>
        <v>18.946666666666665</v>
      </c>
      <c r="AB56" s="87">
        <f t="shared" si="48"/>
        <v>1676.1</v>
      </c>
      <c r="AC56" s="36">
        <f>RCF!C$35</f>
        <v>26.19</v>
      </c>
      <c r="AD56" s="87">
        <f t="shared" si="49"/>
        <v>1220.4000000000001</v>
      </c>
      <c r="AE56" s="81">
        <f>RCF!C$41</f>
        <v>19.068114999999999</v>
      </c>
    </row>
    <row r="57" spans="1:31" s="39" customFormat="1" x14ac:dyDescent="0.3">
      <c r="A57" s="236">
        <v>303</v>
      </c>
      <c r="B57" s="145" t="s">
        <v>14</v>
      </c>
      <c r="C57" s="146">
        <v>120</v>
      </c>
      <c r="D57" s="87">
        <f t="shared" si="38"/>
        <v>7094.6</v>
      </c>
      <c r="E57" s="81">
        <f>RCF!$C$47</f>
        <v>59.121481687424989</v>
      </c>
      <c r="F57" s="87">
        <f t="shared" si="39"/>
        <v>2227.1999999999998</v>
      </c>
      <c r="G57" s="81">
        <f>RCF!C$5</f>
        <v>18.559999999999999</v>
      </c>
      <c r="H57" s="87">
        <f t="shared" si="40"/>
        <v>2338.4</v>
      </c>
      <c r="I57" s="36">
        <f>RCF!C$37</f>
        <v>19.486666666666668</v>
      </c>
      <c r="J57" s="253">
        <f t="shared" si="41"/>
        <v>2316.4</v>
      </c>
      <c r="K57" s="36">
        <f>RCF!C$7</f>
        <v>19.303333333333335</v>
      </c>
      <c r="L57" s="87">
        <f t="shared" si="50"/>
        <v>2210.8000000000002</v>
      </c>
      <c r="M57" s="36">
        <f>RCF!C$9</f>
        <v>18.422999999999998</v>
      </c>
      <c r="N57" s="87">
        <f t="shared" si="51"/>
        <v>2246.6</v>
      </c>
      <c r="O57" s="36">
        <f>RCF!C$11</f>
        <v>18.722000000000001</v>
      </c>
      <c r="P57" s="87">
        <f t="shared" si="53"/>
        <v>2379.1999999999998</v>
      </c>
      <c r="Q57" s="36">
        <f>RCF!C$64</f>
        <v>19.826666666666664</v>
      </c>
      <c r="R57" s="147">
        <f t="shared" si="43"/>
        <v>2296</v>
      </c>
      <c r="S57" s="36">
        <f>RCF!C$13</f>
        <v>19.133333333333333</v>
      </c>
      <c r="T57" s="87">
        <f t="shared" si="52"/>
        <v>2108.4</v>
      </c>
      <c r="U57" s="36">
        <f>RCF!C$22</f>
        <v>17.57</v>
      </c>
      <c r="V57" s="87">
        <f t="shared" si="45"/>
        <v>2356.4</v>
      </c>
      <c r="W57" s="36">
        <f>RCF!C$26</f>
        <v>19.636666666666667</v>
      </c>
      <c r="X57" s="87">
        <f t="shared" si="46"/>
        <v>2414.5</v>
      </c>
      <c r="Y57" s="36">
        <f>RCF!C$33</f>
        <v>20.121274</v>
      </c>
      <c r="Z57" s="87">
        <f t="shared" si="47"/>
        <v>2273.6</v>
      </c>
      <c r="AA57" s="36">
        <f>RCF!C$39</f>
        <v>18.946666666666665</v>
      </c>
      <c r="AB57" s="87">
        <f t="shared" si="48"/>
        <v>3142.8</v>
      </c>
      <c r="AC57" s="36">
        <f>RCF!C$35</f>
        <v>26.19</v>
      </c>
      <c r="AD57" s="87">
        <f t="shared" si="49"/>
        <v>2288.1999999999998</v>
      </c>
      <c r="AE57" s="81">
        <f>RCF!C$41</f>
        <v>19.068114999999999</v>
      </c>
    </row>
    <row r="58" spans="1:31" s="39" customFormat="1" x14ac:dyDescent="0.3">
      <c r="A58" s="236">
        <v>304</v>
      </c>
      <c r="B58" s="145" t="s">
        <v>15</v>
      </c>
      <c r="C58" s="146">
        <v>50</v>
      </c>
      <c r="D58" s="87">
        <f t="shared" si="38"/>
        <v>2956.1</v>
      </c>
      <c r="E58" s="81">
        <f>RCF!$C$47</f>
        <v>59.121481687424989</v>
      </c>
      <c r="F58" s="87">
        <f t="shared" si="39"/>
        <v>928</v>
      </c>
      <c r="G58" s="81">
        <f>RCF!C$5</f>
        <v>18.559999999999999</v>
      </c>
      <c r="H58" s="87">
        <f t="shared" si="40"/>
        <v>974.3</v>
      </c>
      <c r="I58" s="36">
        <f>RCF!C$37</f>
        <v>19.486666666666668</v>
      </c>
      <c r="J58" s="253">
        <f t="shared" si="41"/>
        <v>965.1</v>
      </c>
      <c r="K58" s="36">
        <f>RCF!C$7</f>
        <v>19.303333333333335</v>
      </c>
      <c r="L58" s="87">
        <f t="shared" si="50"/>
        <v>921.2</v>
      </c>
      <c r="M58" s="36">
        <f>RCF!C$9</f>
        <v>18.422999999999998</v>
      </c>
      <c r="N58" s="87">
        <f t="shared" si="51"/>
        <v>936.1</v>
      </c>
      <c r="O58" s="36">
        <f>RCF!C$11</f>
        <v>18.722000000000001</v>
      </c>
      <c r="P58" s="87">
        <f t="shared" si="53"/>
        <v>991.3</v>
      </c>
      <c r="Q58" s="36">
        <f>RCF!C$64</f>
        <v>19.826666666666664</v>
      </c>
      <c r="R58" s="147">
        <f t="shared" si="43"/>
        <v>956.6</v>
      </c>
      <c r="S58" s="36">
        <f>RCF!C$13</f>
        <v>19.133333333333333</v>
      </c>
      <c r="T58" s="87">
        <f t="shared" si="52"/>
        <v>878.5</v>
      </c>
      <c r="U58" s="36">
        <f>RCF!C$22</f>
        <v>17.57</v>
      </c>
      <c r="V58" s="87">
        <f t="shared" si="45"/>
        <v>981.8</v>
      </c>
      <c r="W58" s="36">
        <f>RCF!C$26</f>
        <v>19.636666666666667</v>
      </c>
      <c r="X58" s="87">
        <f t="shared" si="46"/>
        <v>1006</v>
      </c>
      <c r="Y58" s="36">
        <f>RCF!C$33</f>
        <v>20.121274</v>
      </c>
      <c r="Z58" s="87">
        <f t="shared" si="47"/>
        <v>947.3</v>
      </c>
      <c r="AA58" s="36">
        <f>RCF!C$39</f>
        <v>18.946666666666665</v>
      </c>
      <c r="AB58" s="87">
        <f t="shared" si="48"/>
        <v>1309.5</v>
      </c>
      <c r="AC58" s="36">
        <f>RCF!C$35</f>
        <v>26.19</v>
      </c>
      <c r="AD58" s="87">
        <f t="shared" si="49"/>
        <v>953.4</v>
      </c>
      <c r="AE58" s="81">
        <f>RCF!C$41</f>
        <v>19.068114999999999</v>
      </c>
    </row>
    <row r="59" spans="1:31" s="39" customFormat="1" ht="27.6" x14ac:dyDescent="0.3">
      <c r="A59" s="236">
        <v>307</v>
      </c>
      <c r="B59" s="145" t="s">
        <v>8</v>
      </c>
      <c r="C59" s="146">
        <v>27</v>
      </c>
      <c r="D59" s="87">
        <f t="shared" si="38"/>
        <v>1596.3</v>
      </c>
      <c r="E59" s="81">
        <f>RCF!$C$47</f>
        <v>59.121481687424989</v>
      </c>
      <c r="F59" s="87">
        <f t="shared" si="39"/>
        <v>501.1</v>
      </c>
      <c r="G59" s="81">
        <f>RCF!C$5</f>
        <v>18.559999999999999</v>
      </c>
      <c r="H59" s="87">
        <f t="shared" si="40"/>
        <v>526.1</v>
      </c>
      <c r="I59" s="36">
        <f>RCF!C$37</f>
        <v>19.486666666666668</v>
      </c>
      <c r="J59" s="253">
        <f t="shared" si="41"/>
        <v>521.1</v>
      </c>
      <c r="K59" s="36">
        <f>RCF!C$7</f>
        <v>19.303333333333335</v>
      </c>
      <c r="L59" s="87">
        <f t="shared" si="50"/>
        <v>497.4</v>
      </c>
      <c r="M59" s="36">
        <f>RCF!C$9</f>
        <v>18.422999999999998</v>
      </c>
      <c r="N59" s="87">
        <f t="shared" si="51"/>
        <v>505.5</v>
      </c>
      <c r="O59" s="36">
        <f>RCF!C$11</f>
        <v>18.722000000000001</v>
      </c>
      <c r="P59" s="87">
        <f t="shared" si="53"/>
        <v>535.29999999999995</v>
      </c>
      <c r="Q59" s="36">
        <f>RCF!C$64</f>
        <v>19.826666666666664</v>
      </c>
      <c r="R59" s="147">
        <f t="shared" si="43"/>
        <v>516.6</v>
      </c>
      <c r="S59" s="36">
        <f>RCF!C$13</f>
        <v>19.133333333333333</v>
      </c>
      <c r="T59" s="87">
        <f t="shared" si="52"/>
        <v>474.4</v>
      </c>
      <c r="U59" s="36">
        <f>RCF!C$22</f>
        <v>17.57</v>
      </c>
      <c r="V59" s="87">
        <f t="shared" si="45"/>
        <v>530.20000000000005</v>
      </c>
      <c r="W59" s="36">
        <f>RCF!C$26</f>
        <v>19.636666666666667</v>
      </c>
      <c r="X59" s="87">
        <f t="shared" si="46"/>
        <v>543.20000000000005</v>
      </c>
      <c r="Y59" s="36">
        <f>RCF!C$33</f>
        <v>20.121274</v>
      </c>
      <c r="Z59" s="87">
        <f t="shared" si="47"/>
        <v>511.5</v>
      </c>
      <c r="AA59" s="36">
        <f>RCF!C$39</f>
        <v>18.946666666666665</v>
      </c>
      <c r="AB59" s="87">
        <f t="shared" si="48"/>
        <v>707.1</v>
      </c>
      <c r="AC59" s="36">
        <f>RCF!C$35</f>
        <v>26.19</v>
      </c>
      <c r="AD59" s="87">
        <f t="shared" si="49"/>
        <v>514.79999999999995</v>
      </c>
      <c r="AE59" s="81">
        <f>RCF!C$41</f>
        <v>19.068114999999999</v>
      </c>
    </row>
    <row r="60" spans="1:31" s="39" customFormat="1" x14ac:dyDescent="0.3">
      <c r="A60" s="236">
        <v>308</v>
      </c>
      <c r="B60" s="145" t="s">
        <v>16</v>
      </c>
      <c r="C60" s="146">
        <v>14</v>
      </c>
      <c r="D60" s="87">
        <f t="shared" si="38"/>
        <v>827.7</v>
      </c>
      <c r="E60" s="81">
        <f>RCF!$C$47</f>
        <v>59.121481687424989</v>
      </c>
      <c r="F60" s="87">
        <f t="shared" si="39"/>
        <v>259.8</v>
      </c>
      <c r="G60" s="81">
        <f>RCF!C$5</f>
        <v>18.559999999999999</v>
      </c>
      <c r="H60" s="87">
        <f t="shared" si="40"/>
        <v>272.8</v>
      </c>
      <c r="I60" s="36">
        <f>RCF!C$37</f>
        <v>19.486666666666668</v>
      </c>
      <c r="J60" s="253">
        <f t="shared" si="41"/>
        <v>270.2</v>
      </c>
      <c r="K60" s="36">
        <f>RCF!C$7</f>
        <v>19.303333333333335</v>
      </c>
      <c r="L60" s="87">
        <f t="shared" si="50"/>
        <v>257.89999999999998</v>
      </c>
      <c r="M60" s="36">
        <f>RCF!C$9</f>
        <v>18.422999999999998</v>
      </c>
      <c r="N60" s="87">
        <f t="shared" si="51"/>
        <v>262.10000000000002</v>
      </c>
      <c r="O60" s="36">
        <f>RCF!C$11</f>
        <v>18.722000000000001</v>
      </c>
      <c r="P60" s="87">
        <f t="shared" si="53"/>
        <v>277.5</v>
      </c>
      <c r="Q60" s="36">
        <f>RCF!C$64</f>
        <v>19.826666666666664</v>
      </c>
      <c r="R60" s="147">
        <f t="shared" si="43"/>
        <v>267.8</v>
      </c>
      <c r="S60" s="36">
        <f>RCF!C$13</f>
        <v>19.133333333333333</v>
      </c>
      <c r="T60" s="87">
        <f t="shared" si="52"/>
        <v>246</v>
      </c>
      <c r="U60" s="36">
        <f>RCF!C$22</f>
        <v>17.57</v>
      </c>
      <c r="V60" s="87">
        <f t="shared" si="45"/>
        <v>274.89999999999998</v>
      </c>
      <c r="W60" s="36">
        <f>RCF!C$26</f>
        <v>19.636666666666667</v>
      </c>
      <c r="X60" s="87">
        <f t="shared" si="46"/>
        <v>281.60000000000002</v>
      </c>
      <c r="Y60" s="36">
        <f>RCF!C$33</f>
        <v>20.121274</v>
      </c>
      <c r="Z60" s="87">
        <f t="shared" si="47"/>
        <v>265.2</v>
      </c>
      <c r="AA60" s="36">
        <f>RCF!C$39</f>
        <v>18.946666666666665</v>
      </c>
      <c r="AB60" s="87">
        <f t="shared" si="48"/>
        <v>366.6</v>
      </c>
      <c r="AC60" s="36">
        <f>RCF!C$35</f>
        <v>26.19</v>
      </c>
      <c r="AD60" s="87">
        <f t="shared" si="49"/>
        <v>267</v>
      </c>
      <c r="AE60" s="81">
        <f>RCF!C$41</f>
        <v>19.068114999999999</v>
      </c>
    </row>
    <row r="61" spans="1:31" s="39" customFormat="1" x14ac:dyDescent="0.3">
      <c r="A61" s="236">
        <v>310</v>
      </c>
      <c r="B61" s="145" t="s">
        <v>17</v>
      </c>
      <c r="C61" s="146">
        <v>38</v>
      </c>
      <c r="D61" s="87">
        <f t="shared" si="38"/>
        <v>2246.6</v>
      </c>
      <c r="E61" s="81">
        <f>RCF!$C$47</f>
        <v>59.121481687424989</v>
      </c>
      <c r="F61" s="87">
        <f t="shared" si="39"/>
        <v>705.3</v>
      </c>
      <c r="G61" s="81">
        <f>RCF!C$5</f>
        <v>18.559999999999999</v>
      </c>
      <c r="H61" s="87">
        <f t="shared" si="40"/>
        <v>740.4</v>
      </c>
      <c r="I61" s="36">
        <f>RCF!C$37</f>
        <v>19.486666666666668</v>
      </c>
      <c r="J61" s="253">
        <f t="shared" si="41"/>
        <v>733.5</v>
      </c>
      <c r="K61" s="36">
        <f>RCF!C$7</f>
        <v>19.303333333333335</v>
      </c>
      <c r="L61" s="87">
        <f t="shared" si="50"/>
        <v>700.1</v>
      </c>
      <c r="M61" s="36">
        <f>RCF!C$9</f>
        <v>18.422999999999998</v>
      </c>
      <c r="N61" s="87">
        <f t="shared" si="51"/>
        <v>711.4</v>
      </c>
      <c r="O61" s="36">
        <f>RCF!C$11</f>
        <v>18.722000000000001</v>
      </c>
      <c r="P61" s="87">
        <f t="shared" si="53"/>
        <v>753.4</v>
      </c>
      <c r="Q61" s="36">
        <f>RCF!C$64</f>
        <v>19.826666666666664</v>
      </c>
      <c r="R61" s="147">
        <f t="shared" si="43"/>
        <v>727</v>
      </c>
      <c r="S61" s="36">
        <f>RCF!C$13</f>
        <v>19.133333333333333</v>
      </c>
      <c r="T61" s="87">
        <f t="shared" si="52"/>
        <v>667.7</v>
      </c>
      <c r="U61" s="36">
        <f>RCF!C$22</f>
        <v>17.57</v>
      </c>
      <c r="V61" s="87">
        <f t="shared" si="45"/>
        <v>746.2</v>
      </c>
      <c r="W61" s="36">
        <f>RCF!C$26</f>
        <v>19.636666666666667</v>
      </c>
      <c r="X61" s="87">
        <f t="shared" si="46"/>
        <v>764.6</v>
      </c>
      <c r="Y61" s="36">
        <f>RCF!C$33</f>
        <v>20.121274</v>
      </c>
      <c r="Z61" s="87">
        <f t="shared" si="47"/>
        <v>719.9</v>
      </c>
      <c r="AA61" s="36">
        <f>RCF!C$39</f>
        <v>18.946666666666665</v>
      </c>
      <c r="AB61" s="87">
        <f t="shared" si="48"/>
        <v>995.2</v>
      </c>
      <c r="AC61" s="36">
        <f>RCF!C$35</f>
        <v>26.19</v>
      </c>
      <c r="AD61" s="87">
        <f t="shared" si="49"/>
        <v>724.6</v>
      </c>
      <c r="AE61" s="81">
        <f>RCF!C$41</f>
        <v>19.068114999999999</v>
      </c>
    </row>
    <row r="62" spans="1:31" s="39" customFormat="1" x14ac:dyDescent="0.3">
      <c r="A62" s="236">
        <v>316</v>
      </c>
      <c r="B62" s="145" t="s">
        <v>163</v>
      </c>
      <c r="C62" s="146">
        <v>15</v>
      </c>
      <c r="D62" s="87">
        <f t="shared" si="38"/>
        <v>886.8</v>
      </c>
      <c r="E62" s="81">
        <f>RCF!$C$47</f>
        <v>59.121481687424989</v>
      </c>
      <c r="F62" s="87">
        <f t="shared" si="39"/>
        <v>278.39999999999998</v>
      </c>
      <c r="G62" s="81">
        <f>RCF!C$5</f>
        <v>18.559999999999999</v>
      </c>
      <c r="H62" s="87">
        <f t="shared" si="40"/>
        <v>292.3</v>
      </c>
      <c r="I62" s="36">
        <f>RCF!C$37</f>
        <v>19.486666666666668</v>
      </c>
      <c r="J62" s="253">
        <f t="shared" si="41"/>
        <v>289.5</v>
      </c>
      <c r="K62" s="36">
        <f>RCF!C$7</f>
        <v>19.303333333333335</v>
      </c>
      <c r="L62" s="87">
        <f t="shared" si="50"/>
        <v>276.3</v>
      </c>
      <c r="M62" s="36">
        <f>RCF!C$9</f>
        <v>18.422999999999998</v>
      </c>
      <c r="N62" s="87">
        <f t="shared" si="51"/>
        <v>280.8</v>
      </c>
      <c r="O62" s="36">
        <f>RCF!C$11</f>
        <v>18.722000000000001</v>
      </c>
      <c r="P62" s="87">
        <f t="shared" si="53"/>
        <v>297.39999999999998</v>
      </c>
      <c r="Q62" s="36">
        <f>RCF!C$64</f>
        <v>19.826666666666664</v>
      </c>
      <c r="R62" s="147">
        <f t="shared" si="43"/>
        <v>287</v>
      </c>
      <c r="S62" s="36">
        <f>RCF!C$13</f>
        <v>19.133333333333333</v>
      </c>
      <c r="T62" s="87">
        <f t="shared" si="52"/>
        <v>263.60000000000002</v>
      </c>
      <c r="U62" s="36">
        <f>RCF!C$22</f>
        <v>17.57</v>
      </c>
      <c r="V62" s="87">
        <f t="shared" si="45"/>
        <v>294.60000000000002</v>
      </c>
      <c r="W62" s="36">
        <f>RCF!C$26</f>
        <v>19.636666666666667</v>
      </c>
      <c r="X62" s="87">
        <f t="shared" si="46"/>
        <v>301.8</v>
      </c>
      <c r="Y62" s="36">
        <f>RCF!C$33</f>
        <v>20.121274</v>
      </c>
      <c r="Z62" s="87">
        <f t="shared" si="47"/>
        <v>284.2</v>
      </c>
      <c r="AA62" s="36">
        <f>RCF!C$39</f>
        <v>18.946666666666665</v>
      </c>
      <c r="AB62" s="87">
        <f t="shared" si="48"/>
        <v>392.8</v>
      </c>
      <c r="AC62" s="36">
        <f>RCF!C$35</f>
        <v>26.19</v>
      </c>
      <c r="AD62" s="87">
        <f t="shared" si="49"/>
        <v>286</v>
      </c>
      <c r="AE62" s="81">
        <f>RCF!C$41</f>
        <v>19.068114999999999</v>
      </c>
    </row>
    <row r="63" spans="1:31" s="39" customFormat="1" x14ac:dyDescent="0.3">
      <c r="A63" s="236">
        <v>661</v>
      </c>
      <c r="B63" s="145" t="s">
        <v>164</v>
      </c>
      <c r="C63" s="146">
        <v>9</v>
      </c>
      <c r="D63" s="87">
        <f t="shared" si="38"/>
        <v>532.1</v>
      </c>
      <c r="E63" s="81">
        <f>RCF!$C$47</f>
        <v>59.121481687424989</v>
      </c>
      <c r="F63" s="87">
        <f t="shared" si="39"/>
        <v>167</v>
      </c>
      <c r="G63" s="81">
        <f>RCF!C$5</f>
        <v>18.559999999999999</v>
      </c>
      <c r="H63" s="87">
        <f t="shared" si="40"/>
        <v>175.3</v>
      </c>
      <c r="I63" s="36">
        <f>RCF!C$37</f>
        <v>19.486666666666668</v>
      </c>
      <c r="J63" s="253">
        <f t="shared" si="41"/>
        <v>173.7</v>
      </c>
      <c r="K63" s="36">
        <f>RCF!C$7</f>
        <v>19.303333333333335</v>
      </c>
      <c r="L63" s="87">
        <f t="shared" si="50"/>
        <v>165.8</v>
      </c>
      <c r="M63" s="36">
        <f>RCF!C$9</f>
        <v>18.422999999999998</v>
      </c>
      <c r="N63" s="87">
        <f t="shared" si="51"/>
        <v>168.5</v>
      </c>
      <c r="O63" s="36">
        <f>RCF!C$11</f>
        <v>18.722000000000001</v>
      </c>
      <c r="P63" s="87">
        <f t="shared" si="53"/>
        <v>178.4</v>
      </c>
      <c r="Q63" s="36">
        <f>RCF!C$64</f>
        <v>19.826666666666664</v>
      </c>
      <c r="R63" s="147">
        <f t="shared" si="43"/>
        <v>172.2</v>
      </c>
      <c r="S63" s="36">
        <f>RCF!C$13</f>
        <v>19.133333333333333</v>
      </c>
      <c r="T63" s="87">
        <f t="shared" si="52"/>
        <v>158.1</v>
      </c>
      <c r="U63" s="36">
        <f>RCF!C$22</f>
        <v>17.57</v>
      </c>
      <c r="V63" s="87">
        <f t="shared" si="45"/>
        <v>176.7</v>
      </c>
      <c r="W63" s="36">
        <f>RCF!C$26</f>
        <v>19.636666666666667</v>
      </c>
      <c r="X63" s="87">
        <f t="shared" si="46"/>
        <v>181</v>
      </c>
      <c r="Y63" s="36">
        <f>RCF!C$33</f>
        <v>20.121274</v>
      </c>
      <c r="Z63" s="87">
        <f t="shared" si="47"/>
        <v>170.5</v>
      </c>
      <c r="AA63" s="36">
        <f>RCF!C$39</f>
        <v>18.946666666666665</v>
      </c>
      <c r="AB63" s="87">
        <f t="shared" si="48"/>
        <v>235.7</v>
      </c>
      <c r="AC63" s="36">
        <f>RCF!C$35</f>
        <v>26.19</v>
      </c>
      <c r="AD63" s="87">
        <f t="shared" si="49"/>
        <v>171.6</v>
      </c>
      <c r="AE63" s="81">
        <f>RCF!C$41</f>
        <v>19.068114999999999</v>
      </c>
    </row>
    <row r="64" spans="1:31" s="39" customFormat="1" x14ac:dyDescent="0.3">
      <c r="A64" s="236">
        <v>763</v>
      </c>
      <c r="B64" s="145" t="s">
        <v>203</v>
      </c>
      <c r="C64" s="146">
        <v>9</v>
      </c>
      <c r="D64" s="87">
        <f t="shared" ref="D64" si="68">ROUND(E64*C64,1)</f>
        <v>532.1</v>
      </c>
      <c r="E64" s="81">
        <f>RCF!$C$47</f>
        <v>59.121481687424989</v>
      </c>
      <c r="F64" s="87">
        <f t="shared" ref="F64" si="69">ROUND(G64*$C64,1)</f>
        <v>167</v>
      </c>
      <c r="G64" s="81">
        <f>RCF!C$5</f>
        <v>18.559999999999999</v>
      </c>
      <c r="H64" s="87">
        <f t="shared" ref="H64" si="70">ROUNDDOWN(I64*C64,1)</f>
        <v>175.3</v>
      </c>
      <c r="I64" s="36">
        <f>RCF!C$37</f>
        <v>19.486666666666668</v>
      </c>
      <c r="J64" s="253">
        <f t="shared" ref="J64" si="71">ROUNDDOWN(C64*K64,1)</f>
        <v>173.7</v>
      </c>
      <c r="K64" s="36">
        <f>RCF!C$7</f>
        <v>19.303333333333335</v>
      </c>
      <c r="L64" s="87">
        <f t="shared" ref="L64" si="72">ROUND(M64*$C64,1)</f>
        <v>165.8</v>
      </c>
      <c r="M64" s="36">
        <f>RCF!C$9</f>
        <v>18.422999999999998</v>
      </c>
      <c r="N64" s="87">
        <f t="shared" ref="N64" si="73">ROUND(O64*$C64,1)</f>
        <v>168.5</v>
      </c>
      <c r="O64" s="36">
        <f>RCF!C$11</f>
        <v>18.722000000000001</v>
      </c>
      <c r="P64" s="87">
        <f t="shared" ref="P64" si="74">ROUNDDOWN(Q64*C64,1)</f>
        <v>178.4</v>
      </c>
      <c r="Q64" s="36">
        <f>RCF!C$64</f>
        <v>19.826666666666664</v>
      </c>
      <c r="R64" s="147">
        <f t="shared" ref="R64" si="75">ROUNDDOWN(C64*S64,1)</f>
        <v>172.2</v>
      </c>
      <c r="S64" s="36">
        <f>RCF!C$13</f>
        <v>19.133333333333333</v>
      </c>
      <c r="T64" s="87">
        <f t="shared" ref="T64" si="76">ROUND(U64*C64,1)</f>
        <v>158.1</v>
      </c>
      <c r="U64" s="36">
        <f>RCF!C$22</f>
        <v>17.57</v>
      </c>
      <c r="V64" s="87">
        <f t="shared" ref="V64" si="77">ROUND(W64*C64,1)</f>
        <v>176.7</v>
      </c>
      <c r="W64" s="36">
        <f>RCF!C$26</f>
        <v>19.636666666666667</v>
      </c>
      <c r="X64" s="87">
        <f t="shared" ref="X64" si="78">ROUNDDOWN(Y64*C64,1)</f>
        <v>181</v>
      </c>
      <c r="Y64" s="36">
        <f>RCF!C$33</f>
        <v>20.121274</v>
      </c>
      <c r="Z64" s="87">
        <f t="shared" ref="Z64" si="79">ROUNDDOWN(AA64*C64,1)</f>
        <v>170.5</v>
      </c>
      <c r="AA64" s="36">
        <f>RCF!C$39</f>
        <v>18.946666666666665</v>
      </c>
      <c r="AB64" s="87">
        <f t="shared" ref="AB64" si="80">ROUNDDOWN(C64*AC64,1)</f>
        <v>235.7</v>
      </c>
      <c r="AC64" s="36">
        <f>RCF!C$35</f>
        <v>26.19</v>
      </c>
      <c r="AD64" s="87">
        <f t="shared" ref="AD64" si="81">ROUND(AE64*C64,1)</f>
        <v>171.6</v>
      </c>
      <c r="AE64" s="81">
        <f>RCF!C$41</f>
        <v>19.068114999999999</v>
      </c>
    </row>
    <row r="65" spans="1:31" s="39" customFormat="1" x14ac:dyDescent="0.3">
      <c r="A65" s="236">
        <v>853</v>
      </c>
      <c r="B65" s="145" t="s">
        <v>18</v>
      </c>
      <c r="C65" s="146">
        <v>80.900000000000006</v>
      </c>
      <c r="D65" s="87">
        <f t="shared" si="38"/>
        <v>4782.8999999999996</v>
      </c>
      <c r="E65" s="81">
        <f>RCF!$C$47</f>
        <v>59.121481687424989</v>
      </c>
      <c r="F65" s="87">
        <f t="shared" si="39"/>
        <v>1501.5</v>
      </c>
      <c r="G65" s="81">
        <f>RCF!C$5</f>
        <v>18.559999999999999</v>
      </c>
      <c r="H65" s="87">
        <f t="shared" si="40"/>
        <v>1576.4</v>
      </c>
      <c r="I65" s="36">
        <f>RCF!C$37</f>
        <v>19.486666666666668</v>
      </c>
      <c r="J65" s="253">
        <f t="shared" si="41"/>
        <v>1561.6</v>
      </c>
      <c r="K65" s="36">
        <f>RCF!C$7</f>
        <v>19.303333333333335</v>
      </c>
      <c r="L65" s="87">
        <f t="shared" si="50"/>
        <v>1490.4</v>
      </c>
      <c r="M65" s="36">
        <f>RCF!C$9</f>
        <v>18.422999999999998</v>
      </c>
      <c r="N65" s="87">
        <f t="shared" si="51"/>
        <v>1514.6</v>
      </c>
      <c r="O65" s="36">
        <f>RCF!C$11</f>
        <v>18.722000000000001</v>
      </c>
      <c r="P65" s="87">
        <f t="shared" si="53"/>
        <v>1603.9</v>
      </c>
      <c r="Q65" s="36">
        <f>RCF!C$64</f>
        <v>19.826666666666664</v>
      </c>
      <c r="R65" s="147">
        <f t="shared" si="43"/>
        <v>1547.8</v>
      </c>
      <c r="S65" s="36">
        <f>RCF!C$13</f>
        <v>19.133333333333333</v>
      </c>
      <c r="T65" s="87">
        <f t="shared" si="52"/>
        <v>1421.4</v>
      </c>
      <c r="U65" s="36">
        <f>RCF!C$22</f>
        <v>17.57</v>
      </c>
      <c r="V65" s="87">
        <f t="shared" si="45"/>
        <v>1588.6</v>
      </c>
      <c r="W65" s="36">
        <f>RCF!C$26</f>
        <v>19.636666666666667</v>
      </c>
      <c r="X65" s="87">
        <f t="shared" si="46"/>
        <v>1627.8</v>
      </c>
      <c r="Y65" s="36">
        <f>RCF!C$33</f>
        <v>20.121274</v>
      </c>
      <c r="Z65" s="87">
        <f t="shared" si="47"/>
        <v>1532.7</v>
      </c>
      <c r="AA65" s="36">
        <f>RCF!C$39</f>
        <v>18.946666666666665</v>
      </c>
      <c r="AB65" s="87">
        <f t="shared" si="48"/>
        <v>2118.6999999999998</v>
      </c>
      <c r="AC65" s="36">
        <f>RCF!C$35</f>
        <v>26.19</v>
      </c>
      <c r="AD65" s="87">
        <f t="shared" si="49"/>
        <v>1542.6</v>
      </c>
      <c r="AE65" s="81">
        <f>RCF!C$41</f>
        <v>19.068114999999999</v>
      </c>
    </row>
    <row r="66" spans="1:31" s="39" customFormat="1" x14ac:dyDescent="0.3">
      <c r="A66" s="236">
        <v>857</v>
      </c>
      <c r="B66" s="145" t="s">
        <v>165</v>
      </c>
      <c r="C66" s="146">
        <v>9</v>
      </c>
      <c r="D66" s="87">
        <f t="shared" si="38"/>
        <v>532.1</v>
      </c>
      <c r="E66" s="81">
        <f>RCF!$C$47</f>
        <v>59.121481687424989</v>
      </c>
      <c r="F66" s="87">
        <f t="shared" si="39"/>
        <v>167</v>
      </c>
      <c r="G66" s="81">
        <f>RCF!C$5</f>
        <v>18.559999999999999</v>
      </c>
      <c r="H66" s="87">
        <f t="shared" si="40"/>
        <v>175.3</v>
      </c>
      <c r="I66" s="36">
        <f>RCF!C$37</f>
        <v>19.486666666666668</v>
      </c>
      <c r="J66" s="253">
        <f t="shared" si="41"/>
        <v>173.7</v>
      </c>
      <c r="K66" s="36">
        <f>RCF!C$7</f>
        <v>19.303333333333335</v>
      </c>
      <c r="L66" s="87">
        <f t="shared" si="50"/>
        <v>165.8</v>
      </c>
      <c r="M66" s="36">
        <f>RCF!C$9</f>
        <v>18.422999999999998</v>
      </c>
      <c r="N66" s="87">
        <f t="shared" si="51"/>
        <v>168.5</v>
      </c>
      <c r="O66" s="36">
        <f>RCF!C$11</f>
        <v>18.722000000000001</v>
      </c>
      <c r="P66" s="87">
        <f t="shared" si="53"/>
        <v>178.4</v>
      </c>
      <c r="Q66" s="36">
        <f>RCF!C$64</f>
        <v>19.826666666666664</v>
      </c>
      <c r="R66" s="147">
        <f t="shared" si="43"/>
        <v>172.2</v>
      </c>
      <c r="S66" s="36">
        <f>RCF!C$13</f>
        <v>19.133333333333333</v>
      </c>
      <c r="T66" s="87">
        <f t="shared" si="52"/>
        <v>158.1</v>
      </c>
      <c r="U66" s="36">
        <f>RCF!C$22</f>
        <v>17.57</v>
      </c>
      <c r="V66" s="87">
        <f t="shared" si="45"/>
        <v>176.7</v>
      </c>
      <c r="W66" s="36">
        <f>RCF!C$26</f>
        <v>19.636666666666667</v>
      </c>
      <c r="X66" s="87">
        <f t="shared" si="46"/>
        <v>181</v>
      </c>
      <c r="Y66" s="36">
        <f>RCF!C$33</f>
        <v>20.121274</v>
      </c>
      <c r="Z66" s="87">
        <f t="shared" si="47"/>
        <v>170.5</v>
      </c>
      <c r="AA66" s="36">
        <f>RCF!C$39</f>
        <v>18.946666666666665</v>
      </c>
      <c r="AB66" s="87">
        <f t="shared" si="48"/>
        <v>235.7</v>
      </c>
      <c r="AC66" s="36">
        <f>RCF!C$35</f>
        <v>26.19</v>
      </c>
      <c r="AD66" s="87">
        <f t="shared" si="49"/>
        <v>171.6</v>
      </c>
      <c r="AE66" s="81">
        <f>RCF!C$41</f>
        <v>19.068114999999999</v>
      </c>
    </row>
    <row r="67" spans="1:31" s="39" customFormat="1" x14ac:dyDescent="0.3">
      <c r="A67" s="236">
        <v>887</v>
      </c>
      <c r="B67" s="145" t="s">
        <v>166</v>
      </c>
      <c r="C67" s="146">
        <v>13</v>
      </c>
      <c r="D67" s="87">
        <f t="shared" si="38"/>
        <v>768.6</v>
      </c>
      <c r="E67" s="81">
        <f>RCF!$C$47</f>
        <v>59.121481687424989</v>
      </c>
      <c r="F67" s="87">
        <f t="shared" si="39"/>
        <v>241.3</v>
      </c>
      <c r="G67" s="81">
        <f>RCF!C$5</f>
        <v>18.559999999999999</v>
      </c>
      <c r="H67" s="87">
        <f t="shared" si="40"/>
        <v>253.3</v>
      </c>
      <c r="I67" s="36">
        <f>RCF!C$37</f>
        <v>19.486666666666668</v>
      </c>
      <c r="J67" s="253">
        <f t="shared" si="41"/>
        <v>250.9</v>
      </c>
      <c r="K67" s="36">
        <f>RCF!C$7</f>
        <v>19.303333333333335</v>
      </c>
      <c r="L67" s="87">
        <f t="shared" si="50"/>
        <v>239.5</v>
      </c>
      <c r="M67" s="36">
        <f>RCF!C$9</f>
        <v>18.422999999999998</v>
      </c>
      <c r="N67" s="87">
        <f t="shared" si="51"/>
        <v>243.4</v>
      </c>
      <c r="O67" s="36">
        <f>RCF!C$11</f>
        <v>18.722000000000001</v>
      </c>
      <c r="P67" s="87">
        <f t="shared" si="53"/>
        <v>257.7</v>
      </c>
      <c r="Q67" s="36">
        <f>RCF!C$64</f>
        <v>19.826666666666664</v>
      </c>
      <c r="R67" s="147">
        <f t="shared" si="43"/>
        <v>248.7</v>
      </c>
      <c r="S67" s="36">
        <f>RCF!C$13</f>
        <v>19.133333333333333</v>
      </c>
      <c r="T67" s="87">
        <f t="shared" si="52"/>
        <v>228.4</v>
      </c>
      <c r="U67" s="36">
        <f>RCF!C$22</f>
        <v>17.57</v>
      </c>
      <c r="V67" s="87">
        <f t="shared" si="45"/>
        <v>255.3</v>
      </c>
      <c r="W67" s="36">
        <f>RCF!C$26</f>
        <v>19.636666666666667</v>
      </c>
      <c r="X67" s="87">
        <f t="shared" si="46"/>
        <v>261.5</v>
      </c>
      <c r="Y67" s="36">
        <f>RCF!C$33</f>
        <v>20.121274</v>
      </c>
      <c r="Z67" s="87">
        <f t="shared" si="47"/>
        <v>246.3</v>
      </c>
      <c r="AA67" s="36">
        <f>RCF!C$39</f>
        <v>18.946666666666665</v>
      </c>
      <c r="AB67" s="87">
        <f t="shared" si="48"/>
        <v>340.4</v>
      </c>
      <c r="AC67" s="36">
        <f>RCF!C$35</f>
        <v>26.19</v>
      </c>
      <c r="AD67" s="87">
        <f t="shared" si="49"/>
        <v>247.9</v>
      </c>
      <c r="AE67" s="81">
        <f>RCF!C$41</f>
        <v>19.068114999999999</v>
      </c>
    </row>
    <row r="68" spans="1:31" s="39" customFormat="1" x14ac:dyDescent="0.3">
      <c r="A68" s="236">
        <v>922</v>
      </c>
      <c r="B68" s="145" t="s">
        <v>66</v>
      </c>
      <c r="C68" s="146">
        <v>19</v>
      </c>
      <c r="D68" s="87">
        <f t="shared" si="38"/>
        <v>1123.3</v>
      </c>
      <c r="E68" s="81">
        <f>RCF!$C$47</f>
        <v>59.121481687424989</v>
      </c>
      <c r="F68" s="87">
        <f t="shared" si="39"/>
        <v>352.6</v>
      </c>
      <c r="G68" s="81">
        <f>RCF!C$5</f>
        <v>18.559999999999999</v>
      </c>
      <c r="H68" s="87">
        <f t="shared" si="40"/>
        <v>370.2</v>
      </c>
      <c r="I68" s="36">
        <f>RCF!C$37</f>
        <v>19.486666666666668</v>
      </c>
      <c r="J68" s="253">
        <f t="shared" si="41"/>
        <v>366.7</v>
      </c>
      <c r="K68" s="36">
        <f>RCF!C$7</f>
        <v>19.303333333333335</v>
      </c>
      <c r="L68" s="87">
        <f t="shared" si="50"/>
        <v>350</v>
      </c>
      <c r="M68" s="36">
        <f>RCF!C$9</f>
        <v>18.422999999999998</v>
      </c>
      <c r="N68" s="87">
        <f t="shared" si="51"/>
        <v>355.7</v>
      </c>
      <c r="O68" s="36">
        <f>RCF!C$11</f>
        <v>18.722000000000001</v>
      </c>
      <c r="P68" s="87">
        <f t="shared" si="53"/>
        <v>376.7</v>
      </c>
      <c r="Q68" s="36">
        <f>RCF!C$64</f>
        <v>19.826666666666664</v>
      </c>
      <c r="R68" s="147">
        <f t="shared" si="43"/>
        <v>363.5</v>
      </c>
      <c r="S68" s="36">
        <f>RCF!C$13</f>
        <v>19.133333333333333</v>
      </c>
      <c r="T68" s="87">
        <f t="shared" si="52"/>
        <v>333.8</v>
      </c>
      <c r="U68" s="36">
        <f>RCF!C$22</f>
        <v>17.57</v>
      </c>
      <c r="V68" s="87">
        <f t="shared" si="45"/>
        <v>373.1</v>
      </c>
      <c r="W68" s="36">
        <f>RCF!C$26</f>
        <v>19.636666666666667</v>
      </c>
      <c r="X68" s="87">
        <f t="shared" si="46"/>
        <v>382.3</v>
      </c>
      <c r="Y68" s="36">
        <f>RCF!C$33</f>
        <v>20.121274</v>
      </c>
      <c r="Z68" s="87">
        <f t="shared" si="47"/>
        <v>359.9</v>
      </c>
      <c r="AA68" s="36">
        <f>RCF!C$39</f>
        <v>18.946666666666665</v>
      </c>
      <c r="AB68" s="87">
        <f t="shared" si="48"/>
        <v>497.6</v>
      </c>
      <c r="AC68" s="36">
        <f>RCF!C$35</f>
        <v>26.19</v>
      </c>
      <c r="AD68" s="87">
        <f t="shared" si="49"/>
        <v>362.3</v>
      </c>
      <c r="AE68" s="81">
        <f>RCF!C$41</f>
        <v>19.068114999999999</v>
      </c>
    </row>
    <row r="69" spans="1:31" x14ac:dyDescent="0.3">
      <c r="A69" s="236">
        <v>1063</v>
      </c>
      <c r="B69" s="145" t="s">
        <v>19</v>
      </c>
      <c r="C69" s="146">
        <v>10</v>
      </c>
      <c r="D69" s="87">
        <f t="shared" si="38"/>
        <v>591.20000000000005</v>
      </c>
      <c r="E69" s="81">
        <f>RCF!$C$47</f>
        <v>59.121481687424989</v>
      </c>
      <c r="F69" s="87">
        <f t="shared" si="39"/>
        <v>185.6</v>
      </c>
      <c r="G69" s="81">
        <f>RCF!C$5</f>
        <v>18.559999999999999</v>
      </c>
      <c r="H69" s="87">
        <f t="shared" si="40"/>
        <v>194.8</v>
      </c>
      <c r="I69" s="36">
        <f>RCF!C$37</f>
        <v>19.486666666666668</v>
      </c>
      <c r="J69" s="253">
        <f t="shared" si="41"/>
        <v>193</v>
      </c>
      <c r="K69" s="36">
        <f>RCF!C$7</f>
        <v>19.303333333333335</v>
      </c>
      <c r="L69" s="87">
        <f t="shared" si="50"/>
        <v>184.2</v>
      </c>
      <c r="M69" s="36">
        <f>RCF!C$9</f>
        <v>18.422999999999998</v>
      </c>
      <c r="N69" s="87">
        <f t="shared" si="51"/>
        <v>187.2</v>
      </c>
      <c r="O69" s="36">
        <f>RCF!C$11</f>
        <v>18.722000000000001</v>
      </c>
      <c r="P69" s="87">
        <f t="shared" si="53"/>
        <v>198.2</v>
      </c>
      <c r="Q69" s="36">
        <f>RCF!C$64</f>
        <v>19.826666666666664</v>
      </c>
      <c r="R69" s="147">
        <f t="shared" si="43"/>
        <v>191.3</v>
      </c>
      <c r="S69" s="36">
        <f>RCF!C$13</f>
        <v>19.133333333333333</v>
      </c>
      <c r="T69" s="87">
        <f t="shared" si="52"/>
        <v>175.7</v>
      </c>
      <c r="U69" s="36">
        <f>RCF!C$22</f>
        <v>17.57</v>
      </c>
      <c r="V69" s="87">
        <f t="shared" si="45"/>
        <v>196.4</v>
      </c>
      <c r="W69" s="36">
        <f>RCF!C$26</f>
        <v>19.636666666666667</v>
      </c>
      <c r="X69" s="87">
        <f t="shared" si="46"/>
        <v>201.2</v>
      </c>
      <c r="Y69" s="36">
        <f>RCF!C$33</f>
        <v>20.121274</v>
      </c>
      <c r="Z69" s="87">
        <f t="shared" si="47"/>
        <v>189.4</v>
      </c>
      <c r="AA69" s="36">
        <f>RCF!C$39</f>
        <v>18.946666666666665</v>
      </c>
      <c r="AB69" s="87">
        <f t="shared" si="48"/>
        <v>261.89999999999998</v>
      </c>
      <c r="AC69" s="36">
        <f>RCF!C$35</f>
        <v>26.19</v>
      </c>
      <c r="AD69" s="87">
        <f t="shared" si="49"/>
        <v>190.7</v>
      </c>
      <c r="AE69" s="81">
        <f>RCF!C$41</f>
        <v>19.068114999999999</v>
      </c>
    </row>
    <row r="70" spans="1:31" x14ac:dyDescent="0.3">
      <c r="A70" s="236">
        <v>1101</v>
      </c>
      <c r="B70" s="145" t="s">
        <v>20</v>
      </c>
      <c r="C70" s="146">
        <v>75</v>
      </c>
      <c r="D70" s="87">
        <f t="shared" ref="D70:D98" si="82">ROUND(E70*C70,1)</f>
        <v>4434.1000000000004</v>
      </c>
      <c r="E70" s="81">
        <f>RCF!$C$47</f>
        <v>59.121481687424989</v>
      </c>
      <c r="F70" s="87">
        <f t="shared" ref="F70:F121" si="83">ROUND(G70*$C70,1)</f>
        <v>1392</v>
      </c>
      <c r="G70" s="81">
        <f>RCF!C$5</f>
        <v>18.559999999999999</v>
      </c>
      <c r="H70" s="87">
        <f t="shared" ref="H70:H121" si="84">ROUNDDOWN(I70*C70,1)</f>
        <v>1461.5</v>
      </c>
      <c r="I70" s="36">
        <f>RCF!C$37</f>
        <v>19.486666666666668</v>
      </c>
      <c r="J70" s="253">
        <f t="shared" ref="J70:J121" si="85">ROUNDDOWN(C70*K70,1)</f>
        <v>1447.7</v>
      </c>
      <c r="K70" s="36">
        <f>RCF!C$7</f>
        <v>19.303333333333335</v>
      </c>
      <c r="L70" s="87">
        <f t="shared" si="50"/>
        <v>1381.7</v>
      </c>
      <c r="M70" s="36">
        <f>RCF!C$9</f>
        <v>18.422999999999998</v>
      </c>
      <c r="N70" s="87">
        <f t="shared" si="51"/>
        <v>1404.2</v>
      </c>
      <c r="O70" s="36">
        <f>RCF!C$11</f>
        <v>18.722000000000001</v>
      </c>
      <c r="P70" s="87">
        <f t="shared" si="53"/>
        <v>1487</v>
      </c>
      <c r="Q70" s="36">
        <f>RCF!C$64</f>
        <v>19.826666666666664</v>
      </c>
      <c r="R70" s="147">
        <f t="shared" ref="R70:R121" si="86">ROUNDDOWN(C70*S70,1)</f>
        <v>1435</v>
      </c>
      <c r="S70" s="36">
        <f>RCF!C$13</f>
        <v>19.133333333333333</v>
      </c>
      <c r="T70" s="87">
        <f t="shared" si="52"/>
        <v>1317.8</v>
      </c>
      <c r="U70" s="36">
        <f>RCF!C$22</f>
        <v>17.57</v>
      </c>
      <c r="V70" s="87">
        <f t="shared" ref="V70:V99" si="87">ROUND(W70*C70,1)</f>
        <v>1472.8</v>
      </c>
      <c r="W70" s="36">
        <f>RCF!C$26</f>
        <v>19.636666666666667</v>
      </c>
      <c r="X70" s="87">
        <f t="shared" ref="X70:X121" si="88">ROUNDDOWN(Y70*C70,1)</f>
        <v>1509</v>
      </c>
      <c r="Y70" s="36">
        <f>RCF!C$33</f>
        <v>20.121274</v>
      </c>
      <c r="Z70" s="87">
        <f t="shared" ref="Z70:Z101" si="89">ROUNDDOWN(AA70*C70,1)</f>
        <v>1421</v>
      </c>
      <c r="AA70" s="36">
        <f>RCF!C$39</f>
        <v>18.946666666666665</v>
      </c>
      <c r="AB70" s="87">
        <f t="shared" ref="AB70:AB99" si="90">ROUNDDOWN(C70*AC70,1)</f>
        <v>1964.2</v>
      </c>
      <c r="AC70" s="36">
        <f>RCF!C$35</f>
        <v>26.19</v>
      </c>
      <c r="AD70" s="87">
        <f t="shared" ref="AD70:AD99" si="91">ROUND(AE70*C70,1)</f>
        <v>1430.1</v>
      </c>
      <c r="AE70" s="81">
        <f>RCF!C$41</f>
        <v>19.068114999999999</v>
      </c>
    </row>
    <row r="71" spans="1:31" x14ac:dyDescent="0.3">
      <c r="A71" s="236">
        <v>1136</v>
      </c>
      <c r="B71" s="145" t="s">
        <v>9</v>
      </c>
      <c r="C71" s="146">
        <v>12</v>
      </c>
      <c r="D71" s="87">
        <f t="shared" si="82"/>
        <v>709.5</v>
      </c>
      <c r="E71" s="81">
        <f>RCF!$C$47</f>
        <v>59.121481687424989</v>
      </c>
      <c r="F71" s="87">
        <f t="shared" si="83"/>
        <v>222.7</v>
      </c>
      <c r="G71" s="81">
        <f>RCF!C$5</f>
        <v>18.559999999999999</v>
      </c>
      <c r="H71" s="87">
        <f t="shared" si="84"/>
        <v>233.8</v>
      </c>
      <c r="I71" s="36">
        <f>RCF!C$37</f>
        <v>19.486666666666668</v>
      </c>
      <c r="J71" s="253">
        <f t="shared" si="85"/>
        <v>231.6</v>
      </c>
      <c r="K71" s="36">
        <f>RCF!C$7</f>
        <v>19.303333333333335</v>
      </c>
      <c r="L71" s="87">
        <f t="shared" ref="L71:L99" si="92">ROUND(M71*$C71,1)</f>
        <v>221.1</v>
      </c>
      <c r="M71" s="36">
        <f>RCF!C$9</f>
        <v>18.422999999999998</v>
      </c>
      <c r="N71" s="87">
        <f t="shared" ref="N71:N122" si="93">ROUND(O71*$C71,1)</f>
        <v>224.7</v>
      </c>
      <c r="O71" s="36">
        <f>RCF!C$11</f>
        <v>18.722000000000001</v>
      </c>
      <c r="P71" s="87">
        <f t="shared" si="53"/>
        <v>237.9</v>
      </c>
      <c r="Q71" s="36">
        <f>RCF!C$64</f>
        <v>19.826666666666664</v>
      </c>
      <c r="R71" s="147">
        <f t="shared" si="86"/>
        <v>229.6</v>
      </c>
      <c r="S71" s="36">
        <f>RCF!C$13</f>
        <v>19.133333333333333</v>
      </c>
      <c r="T71" s="87">
        <f t="shared" ref="T71:T99" si="94">ROUND(U71*C71,1)</f>
        <v>210.8</v>
      </c>
      <c r="U71" s="36">
        <f>RCF!C$22</f>
        <v>17.57</v>
      </c>
      <c r="V71" s="87">
        <f t="shared" si="87"/>
        <v>235.6</v>
      </c>
      <c r="W71" s="36">
        <f>RCF!C$26</f>
        <v>19.636666666666667</v>
      </c>
      <c r="X71" s="87">
        <f t="shared" si="88"/>
        <v>241.4</v>
      </c>
      <c r="Y71" s="36">
        <f>RCF!C$33</f>
        <v>20.121274</v>
      </c>
      <c r="Z71" s="87">
        <f t="shared" si="89"/>
        <v>227.3</v>
      </c>
      <c r="AA71" s="36">
        <f>RCF!C$39</f>
        <v>18.946666666666665</v>
      </c>
      <c r="AB71" s="87">
        <f t="shared" si="90"/>
        <v>314.2</v>
      </c>
      <c r="AC71" s="36">
        <f>RCF!C$35</f>
        <v>26.19</v>
      </c>
      <c r="AD71" s="87">
        <f t="shared" si="91"/>
        <v>228.8</v>
      </c>
      <c r="AE71" s="81">
        <f>RCF!C$41</f>
        <v>19.068114999999999</v>
      </c>
    </row>
    <row r="72" spans="1:31" x14ac:dyDescent="0.3">
      <c r="A72" s="236">
        <v>1186</v>
      </c>
      <c r="B72" s="145" t="s">
        <v>167</v>
      </c>
      <c r="C72" s="146">
        <v>30</v>
      </c>
      <c r="D72" s="87">
        <f t="shared" si="82"/>
        <v>1773.6</v>
      </c>
      <c r="E72" s="81">
        <f>RCF!$C$47</f>
        <v>59.121481687424989</v>
      </c>
      <c r="F72" s="87">
        <f t="shared" si="83"/>
        <v>556.79999999999995</v>
      </c>
      <c r="G72" s="81">
        <f>RCF!C$5</f>
        <v>18.559999999999999</v>
      </c>
      <c r="H72" s="87">
        <f t="shared" si="84"/>
        <v>584.6</v>
      </c>
      <c r="I72" s="36">
        <f>RCF!C$37</f>
        <v>19.486666666666668</v>
      </c>
      <c r="J72" s="253">
        <f t="shared" si="85"/>
        <v>579.1</v>
      </c>
      <c r="K72" s="36">
        <f>RCF!C$7</f>
        <v>19.303333333333335</v>
      </c>
      <c r="L72" s="87">
        <f t="shared" si="92"/>
        <v>552.70000000000005</v>
      </c>
      <c r="M72" s="36">
        <f>RCF!C$9</f>
        <v>18.422999999999998</v>
      </c>
      <c r="N72" s="87">
        <f t="shared" si="93"/>
        <v>561.70000000000005</v>
      </c>
      <c r="O72" s="36">
        <f>RCF!C$11</f>
        <v>18.722000000000001</v>
      </c>
      <c r="P72" s="87">
        <f t="shared" si="53"/>
        <v>594.79999999999995</v>
      </c>
      <c r="Q72" s="36">
        <f>RCF!C$64</f>
        <v>19.826666666666664</v>
      </c>
      <c r="R72" s="147">
        <f t="shared" si="86"/>
        <v>574</v>
      </c>
      <c r="S72" s="36">
        <f>RCF!C$13</f>
        <v>19.133333333333333</v>
      </c>
      <c r="T72" s="87">
        <f t="shared" si="94"/>
        <v>527.1</v>
      </c>
      <c r="U72" s="36">
        <f>RCF!C$22</f>
        <v>17.57</v>
      </c>
      <c r="V72" s="87">
        <f t="shared" si="87"/>
        <v>589.1</v>
      </c>
      <c r="W72" s="36">
        <f>RCF!C$26</f>
        <v>19.636666666666667</v>
      </c>
      <c r="X72" s="87">
        <f t="shared" si="88"/>
        <v>603.6</v>
      </c>
      <c r="Y72" s="36">
        <f>RCF!C$33</f>
        <v>20.121274</v>
      </c>
      <c r="Z72" s="87">
        <f t="shared" si="89"/>
        <v>568.4</v>
      </c>
      <c r="AA72" s="36">
        <f>RCF!C$39</f>
        <v>18.946666666666665</v>
      </c>
      <c r="AB72" s="87">
        <f t="shared" si="90"/>
        <v>785.7</v>
      </c>
      <c r="AC72" s="36">
        <f>RCF!C$35</f>
        <v>26.19</v>
      </c>
      <c r="AD72" s="87">
        <f t="shared" si="91"/>
        <v>572</v>
      </c>
      <c r="AE72" s="81">
        <f>RCF!C$41</f>
        <v>19.068114999999999</v>
      </c>
    </row>
    <row r="73" spans="1:31" ht="27.6" x14ac:dyDescent="0.3">
      <c r="A73" s="236">
        <v>1188</v>
      </c>
      <c r="B73" s="145" t="s">
        <v>168</v>
      </c>
      <c r="C73" s="146">
        <v>50</v>
      </c>
      <c r="D73" s="87">
        <f t="shared" si="82"/>
        <v>2956.1</v>
      </c>
      <c r="E73" s="81">
        <f>RCF!$C$47</f>
        <v>59.121481687424989</v>
      </c>
      <c r="F73" s="87">
        <f t="shared" si="83"/>
        <v>928</v>
      </c>
      <c r="G73" s="81">
        <f>RCF!C$5</f>
        <v>18.559999999999999</v>
      </c>
      <c r="H73" s="87">
        <f t="shared" si="84"/>
        <v>974.3</v>
      </c>
      <c r="I73" s="36">
        <f>RCF!C$37</f>
        <v>19.486666666666668</v>
      </c>
      <c r="J73" s="253">
        <f t="shared" si="85"/>
        <v>965.1</v>
      </c>
      <c r="K73" s="36">
        <f>RCF!C$7</f>
        <v>19.303333333333335</v>
      </c>
      <c r="L73" s="87">
        <f t="shared" si="92"/>
        <v>921.2</v>
      </c>
      <c r="M73" s="36">
        <f>RCF!C$9</f>
        <v>18.422999999999998</v>
      </c>
      <c r="N73" s="87">
        <f t="shared" si="93"/>
        <v>936.1</v>
      </c>
      <c r="O73" s="36">
        <f>RCF!C$11</f>
        <v>18.722000000000001</v>
      </c>
      <c r="P73" s="87">
        <f t="shared" si="53"/>
        <v>991.3</v>
      </c>
      <c r="Q73" s="36">
        <f>RCF!C$64</f>
        <v>19.826666666666664</v>
      </c>
      <c r="R73" s="147">
        <f t="shared" si="86"/>
        <v>956.6</v>
      </c>
      <c r="S73" s="36">
        <f>RCF!C$13</f>
        <v>19.133333333333333</v>
      </c>
      <c r="T73" s="87">
        <f t="shared" si="94"/>
        <v>878.5</v>
      </c>
      <c r="U73" s="36">
        <f>RCF!C$22</f>
        <v>17.57</v>
      </c>
      <c r="V73" s="87">
        <f t="shared" si="87"/>
        <v>981.8</v>
      </c>
      <c r="W73" s="36">
        <f>RCF!C$26</f>
        <v>19.636666666666667</v>
      </c>
      <c r="X73" s="87">
        <f t="shared" si="88"/>
        <v>1006</v>
      </c>
      <c r="Y73" s="36">
        <f>RCF!C$33</f>
        <v>20.121274</v>
      </c>
      <c r="Z73" s="87">
        <f t="shared" si="89"/>
        <v>947.3</v>
      </c>
      <c r="AA73" s="36">
        <f>RCF!C$39</f>
        <v>18.946666666666665</v>
      </c>
      <c r="AB73" s="87">
        <f t="shared" si="90"/>
        <v>1309.5</v>
      </c>
      <c r="AC73" s="36">
        <f>RCF!C$35</f>
        <v>26.19</v>
      </c>
      <c r="AD73" s="87">
        <f t="shared" si="91"/>
        <v>953.4</v>
      </c>
      <c r="AE73" s="81">
        <f>RCF!C$41</f>
        <v>19.068114999999999</v>
      </c>
    </row>
    <row r="74" spans="1:31" x14ac:dyDescent="0.3">
      <c r="A74" s="236">
        <v>1192</v>
      </c>
      <c r="B74" s="145" t="s">
        <v>67</v>
      </c>
      <c r="C74" s="146">
        <v>5</v>
      </c>
      <c r="D74" s="87">
        <f t="shared" si="82"/>
        <v>295.60000000000002</v>
      </c>
      <c r="E74" s="81">
        <f>RCF!$C$47</f>
        <v>59.121481687424989</v>
      </c>
      <c r="F74" s="87">
        <f t="shared" si="83"/>
        <v>92.8</v>
      </c>
      <c r="G74" s="81">
        <f>RCF!C$5</f>
        <v>18.559999999999999</v>
      </c>
      <c r="H74" s="87">
        <f t="shared" si="84"/>
        <v>97.4</v>
      </c>
      <c r="I74" s="36">
        <f>RCF!C$37</f>
        <v>19.486666666666668</v>
      </c>
      <c r="J74" s="253">
        <f t="shared" si="85"/>
        <v>96.5</v>
      </c>
      <c r="K74" s="36">
        <f>RCF!C$7</f>
        <v>19.303333333333335</v>
      </c>
      <c r="L74" s="87">
        <f t="shared" si="92"/>
        <v>92.1</v>
      </c>
      <c r="M74" s="36">
        <f>RCF!C$9</f>
        <v>18.422999999999998</v>
      </c>
      <c r="N74" s="87">
        <f t="shared" si="93"/>
        <v>93.6</v>
      </c>
      <c r="O74" s="36">
        <f>RCF!C$11</f>
        <v>18.722000000000001</v>
      </c>
      <c r="P74" s="87">
        <f t="shared" si="53"/>
        <v>99.1</v>
      </c>
      <c r="Q74" s="36">
        <f>RCF!C$64</f>
        <v>19.826666666666664</v>
      </c>
      <c r="R74" s="147">
        <f t="shared" si="86"/>
        <v>95.6</v>
      </c>
      <c r="S74" s="36">
        <f>RCF!C$13</f>
        <v>19.133333333333333</v>
      </c>
      <c r="T74" s="87">
        <f t="shared" si="94"/>
        <v>87.9</v>
      </c>
      <c r="U74" s="36">
        <f>RCF!C$22</f>
        <v>17.57</v>
      </c>
      <c r="V74" s="87">
        <f t="shared" si="87"/>
        <v>98.2</v>
      </c>
      <c r="W74" s="36">
        <f>RCF!C$26</f>
        <v>19.636666666666667</v>
      </c>
      <c r="X74" s="87">
        <f t="shared" si="88"/>
        <v>100.6</v>
      </c>
      <c r="Y74" s="36">
        <f>RCF!C$33</f>
        <v>20.121274</v>
      </c>
      <c r="Z74" s="87">
        <f t="shared" si="89"/>
        <v>94.7</v>
      </c>
      <c r="AA74" s="36">
        <f>RCF!C$39</f>
        <v>18.946666666666665</v>
      </c>
      <c r="AB74" s="87">
        <f t="shared" si="90"/>
        <v>130.9</v>
      </c>
      <c r="AC74" s="36">
        <f>RCF!C$35</f>
        <v>26.19</v>
      </c>
      <c r="AD74" s="87">
        <f t="shared" si="91"/>
        <v>95.3</v>
      </c>
      <c r="AE74" s="81">
        <f>RCF!C$41</f>
        <v>19.068114999999999</v>
      </c>
    </row>
    <row r="75" spans="1:31" x14ac:dyDescent="0.3">
      <c r="A75" s="236">
        <v>1204</v>
      </c>
      <c r="B75" s="145" t="s">
        <v>204</v>
      </c>
      <c r="C75" s="146">
        <v>30</v>
      </c>
      <c r="D75" s="87">
        <f t="shared" ref="D75" si="95">ROUND(E75*C75,1)</f>
        <v>1773.6</v>
      </c>
      <c r="E75" s="81">
        <f>RCF!$C$47</f>
        <v>59.121481687424989</v>
      </c>
      <c r="F75" s="87">
        <f t="shared" ref="F75" si="96">ROUND(G75*$C75,1)</f>
        <v>556.79999999999995</v>
      </c>
      <c r="G75" s="81">
        <f>RCF!C$5</f>
        <v>18.559999999999999</v>
      </c>
      <c r="H75" s="87">
        <f t="shared" ref="H75" si="97">ROUNDDOWN(I75*C75,1)</f>
        <v>584.6</v>
      </c>
      <c r="I75" s="36">
        <f>RCF!C$37</f>
        <v>19.486666666666668</v>
      </c>
      <c r="J75" s="253">
        <f t="shared" ref="J75" si="98">ROUNDDOWN(C75*K75,1)</f>
        <v>579.1</v>
      </c>
      <c r="K75" s="36">
        <f>RCF!C$7</f>
        <v>19.303333333333335</v>
      </c>
      <c r="L75" s="87">
        <f t="shared" ref="L75" si="99">ROUND(M75*$C75,1)</f>
        <v>552.70000000000005</v>
      </c>
      <c r="M75" s="36">
        <f>RCF!C$9</f>
        <v>18.422999999999998</v>
      </c>
      <c r="N75" s="87">
        <f t="shared" ref="N75" si="100">ROUND(O75*$C75,1)</f>
        <v>561.70000000000005</v>
      </c>
      <c r="O75" s="36">
        <f>RCF!C$11</f>
        <v>18.722000000000001</v>
      </c>
      <c r="P75" s="87">
        <f t="shared" ref="P75" si="101">ROUNDDOWN(Q75*C75,1)</f>
        <v>594.79999999999995</v>
      </c>
      <c r="Q75" s="36">
        <f>RCF!C$64</f>
        <v>19.826666666666664</v>
      </c>
      <c r="R75" s="147">
        <f t="shared" ref="R75" si="102">ROUNDDOWN(C75*S75,1)</f>
        <v>574</v>
      </c>
      <c r="S75" s="36">
        <f>RCF!C$13</f>
        <v>19.133333333333333</v>
      </c>
      <c r="T75" s="87">
        <f t="shared" ref="T75" si="103">ROUND(U75*C75,1)</f>
        <v>527.1</v>
      </c>
      <c r="U75" s="36">
        <f>RCF!C$22</f>
        <v>17.57</v>
      </c>
      <c r="V75" s="87">
        <f t="shared" ref="V75" si="104">ROUND(W75*C75,1)</f>
        <v>589.1</v>
      </c>
      <c r="W75" s="36">
        <f>RCF!C$26</f>
        <v>19.636666666666667</v>
      </c>
      <c r="X75" s="87">
        <f t="shared" ref="X75" si="105">ROUNDDOWN(Y75*C75,1)</f>
        <v>603.6</v>
      </c>
      <c r="Y75" s="36">
        <f>RCF!C$33</f>
        <v>20.121274</v>
      </c>
      <c r="Z75" s="87">
        <f t="shared" ref="Z75" si="106">ROUNDDOWN(AA75*C75,1)</f>
        <v>568.4</v>
      </c>
      <c r="AA75" s="36">
        <f>RCF!C$39</f>
        <v>18.946666666666665</v>
      </c>
      <c r="AB75" s="87">
        <f t="shared" ref="AB75" si="107">ROUNDDOWN(C75*AC75,1)</f>
        <v>785.7</v>
      </c>
      <c r="AC75" s="36">
        <f>RCF!C$35</f>
        <v>26.19</v>
      </c>
      <c r="AD75" s="87">
        <f t="shared" ref="AD75" si="108">ROUND(AE75*C75,1)</f>
        <v>572</v>
      </c>
      <c r="AE75" s="81">
        <f>RCF!C$41</f>
        <v>19.068114999999999</v>
      </c>
    </row>
    <row r="76" spans="1:31" ht="27.6" x14ac:dyDescent="0.3">
      <c r="A76" s="236">
        <v>1209</v>
      </c>
      <c r="B76" s="145" t="s">
        <v>205</v>
      </c>
      <c r="C76" s="146">
        <v>58</v>
      </c>
      <c r="D76" s="87">
        <f t="shared" ref="D76" si="109">ROUND(E76*C76,1)</f>
        <v>3429</v>
      </c>
      <c r="E76" s="81">
        <f>RCF!$C$47</f>
        <v>59.121481687424989</v>
      </c>
      <c r="F76" s="87">
        <f t="shared" ref="F76" si="110">ROUND(G76*$C76,1)</f>
        <v>1076.5</v>
      </c>
      <c r="G76" s="81">
        <f>RCF!C$5</f>
        <v>18.559999999999999</v>
      </c>
      <c r="H76" s="87">
        <f t="shared" ref="H76" si="111">ROUNDDOWN(I76*C76,1)</f>
        <v>1130.2</v>
      </c>
      <c r="I76" s="36">
        <f>RCF!C$37</f>
        <v>19.486666666666668</v>
      </c>
      <c r="J76" s="253">
        <f t="shared" ref="J76" si="112">ROUNDDOWN(C76*K76,1)</f>
        <v>1119.5</v>
      </c>
      <c r="K76" s="36">
        <f>RCF!C$7</f>
        <v>19.303333333333335</v>
      </c>
      <c r="L76" s="87">
        <f t="shared" ref="L76" si="113">ROUND(M76*$C76,1)</f>
        <v>1068.5</v>
      </c>
      <c r="M76" s="36">
        <f>RCF!C$9</f>
        <v>18.422999999999998</v>
      </c>
      <c r="N76" s="87">
        <f t="shared" ref="N76" si="114">ROUND(O76*$C76,1)</f>
        <v>1085.9000000000001</v>
      </c>
      <c r="O76" s="36">
        <f>RCF!C$11</f>
        <v>18.722000000000001</v>
      </c>
      <c r="P76" s="87">
        <f t="shared" ref="P76" si="115">ROUNDDOWN(Q76*C76,1)</f>
        <v>1149.9000000000001</v>
      </c>
      <c r="Q76" s="36">
        <f>RCF!C$64</f>
        <v>19.826666666666664</v>
      </c>
      <c r="R76" s="147">
        <f t="shared" ref="R76" si="116">ROUNDDOWN(C76*S76,1)</f>
        <v>1109.7</v>
      </c>
      <c r="S76" s="36">
        <f>RCF!C$13</f>
        <v>19.133333333333333</v>
      </c>
      <c r="T76" s="87">
        <f t="shared" ref="T76" si="117">ROUND(U76*C76,1)</f>
        <v>1019.1</v>
      </c>
      <c r="U76" s="36">
        <f>RCF!C$22</f>
        <v>17.57</v>
      </c>
      <c r="V76" s="87">
        <f t="shared" ref="V76" si="118">ROUND(W76*C76,1)</f>
        <v>1138.9000000000001</v>
      </c>
      <c r="W76" s="36">
        <f>RCF!C$26</f>
        <v>19.636666666666667</v>
      </c>
      <c r="X76" s="87">
        <f t="shared" ref="X76" si="119">ROUNDDOWN(Y76*C76,1)</f>
        <v>1167</v>
      </c>
      <c r="Y76" s="36">
        <f>RCF!C$33</f>
        <v>20.121274</v>
      </c>
      <c r="Z76" s="87">
        <f t="shared" ref="Z76" si="120">ROUNDDOWN(AA76*C76,1)</f>
        <v>1098.9000000000001</v>
      </c>
      <c r="AA76" s="36">
        <f>RCF!C$39</f>
        <v>18.946666666666665</v>
      </c>
      <c r="AB76" s="87">
        <f t="shared" ref="AB76" si="121">ROUNDDOWN(C76*AC76,1)</f>
        <v>1519</v>
      </c>
      <c r="AC76" s="36">
        <f>RCF!C$35</f>
        <v>26.19</v>
      </c>
      <c r="AD76" s="87">
        <f t="shared" ref="AD76" si="122">ROUND(AE76*C76,1)</f>
        <v>1106</v>
      </c>
      <c r="AE76" s="81">
        <f>RCF!C$41</f>
        <v>19.068114999999999</v>
      </c>
    </row>
    <row r="77" spans="1:31" ht="27.6" x14ac:dyDescent="0.3">
      <c r="A77" s="236">
        <v>1210</v>
      </c>
      <c r="B77" s="145" t="s">
        <v>206</v>
      </c>
      <c r="C77" s="146">
        <v>50</v>
      </c>
      <c r="D77" s="87">
        <f t="shared" ref="D77" si="123">ROUND(E77*C77,1)</f>
        <v>2956.1</v>
      </c>
      <c r="E77" s="81">
        <f>RCF!$C$47</f>
        <v>59.121481687424989</v>
      </c>
      <c r="F77" s="87">
        <f t="shared" ref="F77" si="124">ROUND(G77*$C77,1)</f>
        <v>928</v>
      </c>
      <c r="G77" s="81">
        <f>RCF!C$5</f>
        <v>18.559999999999999</v>
      </c>
      <c r="H77" s="87">
        <f t="shared" ref="H77" si="125">ROUNDDOWN(I77*C77,1)</f>
        <v>974.3</v>
      </c>
      <c r="I77" s="36">
        <f>RCF!C$37</f>
        <v>19.486666666666668</v>
      </c>
      <c r="J77" s="253">
        <f t="shared" ref="J77" si="126">ROUNDDOWN(C77*K77,1)</f>
        <v>965.1</v>
      </c>
      <c r="K77" s="36">
        <f>RCF!C$7</f>
        <v>19.303333333333335</v>
      </c>
      <c r="L77" s="87">
        <f t="shared" ref="L77" si="127">ROUND(M77*$C77,1)</f>
        <v>921.2</v>
      </c>
      <c r="M77" s="36">
        <f>RCF!C$9</f>
        <v>18.422999999999998</v>
      </c>
      <c r="N77" s="87">
        <f t="shared" ref="N77" si="128">ROUND(O77*$C77,1)</f>
        <v>936.1</v>
      </c>
      <c r="O77" s="36">
        <f>RCF!C$11</f>
        <v>18.722000000000001</v>
      </c>
      <c r="P77" s="87">
        <f t="shared" ref="P77" si="129">ROUNDDOWN(Q77*C77,1)</f>
        <v>991.3</v>
      </c>
      <c r="Q77" s="36">
        <f>RCF!C$64</f>
        <v>19.826666666666664</v>
      </c>
      <c r="R77" s="147">
        <f t="shared" ref="R77" si="130">ROUNDDOWN(C77*S77,1)</f>
        <v>956.6</v>
      </c>
      <c r="S77" s="36">
        <f>RCF!C$13</f>
        <v>19.133333333333333</v>
      </c>
      <c r="T77" s="87">
        <f t="shared" ref="T77" si="131">ROUND(U77*C77,1)</f>
        <v>878.5</v>
      </c>
      <c r="U77" s="36">
        <f>RCF!C$22</f>
        <v>17.57</v>
      </c>
      <c r="V77" s="87">
        <f t="shared" ref="V77" si="132">ROUND(W77*C77,1)</f>
        <v>981.8</v>
      </c>
      <c r="W77" s="36">
        <f>RCF!C$26</f>
        <v>19.636666666666667</v>
      </c>
      <c r="X77" s="87">
        <f t="shared" ref="X77" si="133">ROUNDDOWN(Y77*C77,1)</f>
        <v>1006</v>
      </c>
      <c r="Y77" s="36">
        <f>RCF!C$33</f>
        <v>20.121274</v>
      </c>
      <c r="Z77" s="87">
        <f t="shared" ref="Z77" si="134">ROUNDDOWN(AA77*C77,1)</f>
        <v>947.3</v>
      </c>
      <c r="AA77" s="36">
        <f>RCF!C$39</f>
        <v>18.946666666666665</v>
      </c>
      <c r="AB77" s="87">
        <f t="shared" ref="AB77" si="135">ROUNDDOWN(C77*AC77,1)</f>
        <v>1309.5</v>
      </c>
      <c r="AC77" s="36">
        <f>RCF!C$35</f>
        <v>26.19</v>
      </c>
      <c r="AD77" s="87">
        <f t="shared" ref="AD77" si="136">ROUND(AE77*C77,1)</f>
        <v>953.4</v>
      </c>
      <c r="AE77" s="81">
        <f>RCF!C$41</f>
        <v>19.068114999999999</v>
      </c>
    </row>
    <row r="78" spans="1:31" ht="27.6" x14ac:dyDescent="0.3">
      <c r="A78" s="236">
        <v>1210</v>
      </c>
      <c r="B78" s="145" t="s">
        <v>206</v>
      </c>
      <c r="C78" s="146">
        <v>50</v>
      </c>
      <c r="D78" s="87">
        <f t="shared" ref="D78" si="137">ROUND(E78*C78,1)</f>
        <v>2956.1</v>
      </c>
      <c r="E78" s="81">
        <f>RCF!$C$47</f>
        <v>59.121481687424989</v>
      </c>
      <c r="F78" s="87">
        <f t="shared" ref="F78" si="138">ROUND(G78*$C78,1)</f>
        <v>928</v>
      </c>
      <c r="G78" s="81">
        <f>RCF!C$5</f>
        <v>18.559999999999999</v>
      </c>
      <c r="H78" s="87">
        <f t="shared" ref="H78" si="139">ROUNDDOWN(I78*C78,1)</f>
        <v>974.3</v>
      </c>
      <c r="I78" s="36">
        <f>RCF!C$37</f>
        <v>19.486666666666668</v>
      </c>
      <c r="J78" s="253">
        <f t="shared" ref="J78" si="140">ROUNDDOWN(C78*K78,1)</f>
        <v>965.1</v>
      </c>
      <c r="K78" s="36">
        <f>RCF!C$7</f>
        <v>19.303333333333335</v>
      </c>
      <c r="L78" s="87">
        <f t="shared" ref="L78" si="141">ROUND(M78*$C78,1)</f>
        <v>921.2</v>
      </c>
      <c r="M78" s="36">
        <f>RCF!C$9</f>
        <v>18.422999999999998</v>
      </c>
      <c r="N78" s="87">
        <f t="shared" ref="N78" si="142">ROUND(O78*$C78,1)</f>
        <v>936.1</v>
      </c>
      <c r="O78" s="36">
        <f>RCF!C$11</f>
        <v>18.722000000000001</v>
      </c>
      <c r="P78" s="87">
        <f t="shared" ref="P78" si="143">ROUNDDOWN(Q78*C78,1)</f>
        <v>991.3</v>
      </c>
      <c r="Q78" s="36">
        <f>RCF!C$64</f>
        <v>19.826666666666664</v>
      </c>
      <c r="R78" s="147">
        <f t="shared" ref="R78" si="144">ROUNDDOWN(C78*S78,1)</f>
        <v>956.6</v>
      </c>
      <c r="S78" s="36">
        <f>RCF!C$13</f>
        <v>19.133333333333333</v>
      </c>
      <c r="T78" s="87">
        <f t="shared" ref="T78" si="145">ROUND(U78*C78,1)</f>
        <v>878.5</v>
      </c>
      <c r="U78" s="36">
        <f>RCF!C$22</f>
        <v>17.57</v>
      </c>
      <c r="V78" s="87">
        <f t="shared" ref="V78" si="146">ROUND(W78*C78,1)</f>
        <v>981.8</v>
      </c>
      <c r="W78" s="36">
        <f>RCF!C$26</f>
        <v>19.636666666666667</v>
      </c>
      <c r="X78" s="87">
        <f t="shared" ref="X78" si="147">ROUNDDOWN(Y78*C78,1)</f>
        <v>1006</v>
      </c>
      <c r="Y78" s="36">
        <f>RCF!C$33</f>
        <v>20.121274</v>
      </c>
      <c r="Z78" s="87">
        <f t="shared" ref="Z78" si="148">ROUNDDOWN(AA78*C78,1)</f>
        <v>947.3</v>
      </c>
      <c r="AA78" s="36">
        <f>RCF!C$39</f>
        <v>18.946666666666665</v>
      </c>
      <c r="AB78" s="87">
        <f t="shared" ref="AB78" si="149">ROUNDDOWN(C78*AC78,1)</f>
        <v>1309.5</v>
      </c>
      <c r="AC78" s="36">
        <f>RCF!C$35</f>
        <v>26.19</v>
      </c>
      <c r="AD78" s="87">
        <f t="shared" ref="AD78" si="150">ROUND(AE78*C78,1)</f>
        <v>953.4</v>
      </c>
      <c r="AE78" s="81">
        <f>RCF!C$41</f>
        <v>19.068114999999999</v>
      </c>
    </row>
    <row r="79" spans="1:31" x14ac:dyDescent="0.3">
      <c r="A79" s="236">
        <v>1211</v>
      </c>
      <c r="B79" s="145" t="s">
        <v>207</v>
      </c>
      <c r="C79" s="146">
        <v>0</v>
      </c>
      <c r="D79" s="87">
        <f t="shared" si="82"/>
        <v>0</v>
      </c>
      <c r="E79" s="81">
        <f>RCF!$C$47</f>
        <v>59.121481687424989</v>
      </c>
      <c r="F79" s="87">
        <f t="shared" si="83"/>
        <v>0</v>
      </c>
      <c r="G79" s="81">
        <f>RCF!C$5</f>
        <v>18.559999999999999</v>
      </c>
      <c r="H79" s="87">
        <f t="shared" si="84"/>
        <v>0</v>
      </c>
      <c r="I79" s="36">
        <f>RCF!C$37</f>
        <v>19.486666666666668</v>
      </c>
      <c r="J79" s="253">
        <f t="shared" si="85"/>
        <v>0</v>
      </c>
      <c r="K79" s="36">
        <f>RCF!C$7</f>
        <v>19.303333333333335</v>
      </c>
      <c r="L79" s="87">
        <f t="shared" si="92"/>
        <v>0</v>
      </c>
      <c r="M79" s="36">
        <f>RCF!C$9</f>
        <v>18.422999999999998</v>
      </c>
      <c r="N79" s="87">
        <f t="shared" si="93"/>
        <v>0</v>
      </c>
      <c r="O79" s="36">
        <f>RCF!C$11</f>
        <v>18.722000000000001</v>
      </c>
      <c r="P79" s="87">
        <f t="shared" si="53"/>
        <v>0</v>
      </c>
      <c r="Q79" s="36">
        <f>RCF!C$64</f>
        <v>19.826666666666664</v>
      </c>
      <c r="R79" s="147">
        <f t="shared" si="86"/>
        <v>0</v>
      </c>
      <c r="S79" s="36">
        <f>RCF!C$13</f>
        <v>19.133333333333333</v>
      </c>
      <c r="T79" s="87">
        <f t="shared" si="94"/>
        <v>0</v>
      </c>
      <c r="U79" s="36">
        <f>RCF!C$22</f>
        <v>17.57</v>
      </c>
      <c r="V79" s="87">
        <f t="shared" si="87"/>
        <v>0</v>
      </c>
      <c r="W79" s="36">
        <f>RCF!C$26</f>
        <v>19.636666666666667</v>
      </c>
      <c r="X79" s="87">
        <f t="shared" si="88"/>
        <v>0</v>
      </c>
      <c r="Y79" s="36">
        <f>RCF!C$33</f>
        <v>20.121274</v>
      </c>
      <c r="Z79" s="87">
        <f t="shared" si="89"/>
        <v>0</v>
      </c>
      <c r="AA79" s="36">
        <f>RCF!C$39</f>
        <v>18.946666666666665</v>
      </c>
      <c r="AB79" s="87">
        <f t="shared" si="90"/>
        <v>0</v>
      </c>
      <c r="AC79" s="36">
        <f>RCF!C$35</f>
        <v>26.19</v>
      </c>
      <c r="AD79" s="87">
        <f t="shared" si="91"/>
        <v>0</v>
      </c>
      <c r="AE79" s="81">
        <f>RCF!C$41</f>
        <v>19.068114999999999</v>
      </c>
    </row>
    <row r="80" spans="1:31" x14ac:dyDescent="0.3">
      <c r="A80" s="236">
        <v>1215</v>
      </c>
      <c r="B80" s="145" t="s">
        <v>208</v>
      </c>
      <c r="C80" s="146">
        <v>25</v>
      </c>
      <c r="D80" s="87">
        <f t="shared" ref="D80" si="151">ROUND(E80*C80,1)</f>
        <v>1478</v>
      </c>
      <c r="E80" s="81">
        <f>RCF!$C$47</f>
        <v>59.121481687424989</v>
      </c>
      <c r="F80" s="87">
        <f t="shared" ref="F80" si="152">ROUND(G80*$C80,1)</f>
        <v>464</v>
      </c>
      <c r="G80" s="81">
        <f>RCF!C$5</f>
        <v>18.559999999999999</v>
      </c>
      <c r="H80" s="87">
        <f t="shared" ref="H80" si="153">ROUNDDOWN(I80*C80,1)</f>
        <v>487.1</v>
      </c>
      <c r="I80" s="36">
        <f>RCF!C$37</f>
        <v>19.486666666666668</v>
      </c>
      <c r="J80" s="253">
        <f t="shared" ref="J80" si="154">ROUNDDOWN(C80*K80,1)</f>
        <v>482.5</v>
      </c>
      <c r="K80" s="36">
        <f>RCF!C$7</f>
        <v>19.303333333333335</v>
      </c>
      <c r="L80" s="87">
        <f t="shared" ref="L80" si="155">ROUND(M80*$C80,1)</f>
        <v>460.6</v>
      </c>
      <c r="M80" s="36">
        <f>RCF!C$9</f>
        <v>18.422999999999998</v>
      </c>
      <c r="N80" s="87">
        <f t="shared" ref="N80" si="156">ROUND(O80*$C80,1)</f>
        <v>468.1</v>
      </c>
      <c r="O80" s="36">
        <f>RCF!C$11</f>
        <v>18.722000000000001</v>
      </c>
      <c r="P80" s="87">
        <f t="shared" ref="P80" si="157">ROUNDDOWN(Q80*C80,1)</f>
        <v>495.6</v>
      </c>
      <c r="Q80" s="36">
        <f>RCF!C$64</f>
        <v>19.826666666666664</v>
      </c>
      <c r="R80" s="147">
        <f t="shared" ref="R80" si="158">ROUNDDOWN(C80*S80,1)</f>
        <v>478.3</v>
      </c>
      <c r="S80" s="36">
        <f>RCF!C$13</f>
        <v>19.133333333333333</v>
      </c>
      <c r="T80" s="87">
        <f t="shared" ref="T80" si="159">ROUND(U80*C80,1)</f>
        <v>439.3</v>
      </c>
      <c r="U80" s="36">
        <f>RCF!C$22</f>
        <v>17.57</v>
      </c>
      <c r="V80" s="87">
        <f t="shared" ref="V80" si="160">ROUND(W80*C80,1)</f>
        <v>490.9</v>
      </c>
      <c r="W80" s="36">
        <f>RCF!C$26</f>
        <v>19.636666666666667</v>
      </c>
      <c r="X80" s="87">
        <f t="shared" ref="X80" si="161">ROUNDDOWN(Y80*C80,1)</f>
        <v>503</v>
      </c>
      <c r="Y80" s="36">
        <f>RCF!C$33</f>
        <v>20.121274</v>
      </c>
      <c r="Z80" s="87">
        <f t="shared" ref="Z80" si="162">ROUNDDOWN(AA80*C80,1)</f>
        <v>473.6</v>
      </c>
      <c r="AA80" s="36">
        <f>RCF!C$39</f>
        <v>18.946666666666665</v>
      </c>
      <c r="AB80" s="87">
        <f t="shared" ref="AB80" si="163">ROUNDDOWN(C80*AC80,1)</f>
        <v>654.70000000000005</v>
      </c>
      <c r="AC80" s="36">
        <f>RCF!C$35</f>
        <v>26.19</v>
      </c>
      <c r="AD80" s="87">
        <f t="shared" ref="AD80" si="164">ROUND(AE80*C80,1)</f>
        <v>476.7</v>
      </c>
      <c r="AE80" s="81">
        <f>RCF!C$41</f>
        <v>19.068114999999999</v>
      </c>
    </row>
    <row r="81" spans="1:31" x14ac:dyDescent="0.3">
      <c r="A81" s="236">
        <v>1218</v>
      </c>
      <c r="B81" s="145" t="s">
        <v>209</v>
      </c>
      <c r="C81" s="146">
        <v>25</v>
      </c>
      <c r="D81" s="87">
        <f t="shared" ref="D81" si="165">ROUND(E81*C81,1)</f>
        <v>1478</v>
      </c>
      <c r="E81" s="81">
        <f>RCF!$C$47</f>
        <v>59.121481687424989</v>
      </c>
      <c r="F81" s="87">
        <f t="shared" ref="F81" si="166">ROUND(G81*$C81,1)</f>
        <v>464</v>
      </c>
      <c r="G81" s="81">
        <f>RCF!C$5</f>
        <v>18.559999999999999</v>
      </c>
      <c r="H81" s="87">
        <f t="shared" ref="H81" si="167">ROUNDDOWN(I81*C81,1)</f>
        <v>487.1</v>
      </c>
      <c r="I81" s="36">
        <f>RCF!C$37</f>
        <v>19.486666666666668</v>
      </c>
      <c r="J81" s="253">
        <f t="shared" ref="J81" si="168">ROUNDDOWN(C81*K81,1)</f>
        <v>482.5</v>
      </c>
      <c r="K81" s="36">
        <f>RCF!C$7</f>
        <v>19.303333333333335</v>
      </c>
      <c r="L81" s="87">
        <f t="shared" ref="L81" si="169">ROUND(M81*$C81,1)</f>
        <v>460.6</v>
      </c>
      <c r="M81" s="36">
        <f>RCF!C$9</f>
        <v>18.422999999999998</v>
      </c>
      <c r="N81" s="87">
        <f t="shared" ref="N81" si="170">ROUND(O81*$C81,1)</f>
        <v>468.1</v>
      </c>
      <c r="O81" s="36">
        <f>RCF!C$11</f>
        <v>18.722000000000001</v>
      </c>
      <c r="P81" s="87">
        <f t="shared" ref="P81" si="171">ROUNDDOWN(Q81*C81,1)</f>
        <v>495.6</v>
      </c>
      <c r="Q81" s="36">
        <f>RCF!C$64</f>
        <v>19.826666666666664</v>
      </c>
      <c r="R81" s="147">
        <f t="shared" ref="R81" si="172">ROUNDDOWN(C81*S81,1)</f>
        <v>478.3</v>
      </c>
      <c r="S81" s="36">
        <f>RCF!C$13</f>
        <v>19.133333333333333</v>
      </c>
      <c r="T81" s="87">
        <f t="shared" ref="T81" si="173">ROUND(U81*C81,1)</f>
        <v>439.3</v>
      </c>
      <c r="U81" s="36">
        <f>RCF!C$22</f>
        <v>17.57</v>
      </c>
      <c r="V81" s="87">
        <f t="shared" ref="V81" si="174">ROUND(W81*C81,1)</f>
        <v>490.9</v>
      </c>
      <c r="W81" s="36">
        <f>RCF!C$26</f>
        <v>19.636666666666667</v>
      </c>
      <c r="X81" s="87">
        <f t="shared" ref="X81" si="175">ROUNDDOWN(Y81*C81,1)</f>
        <v>503</v>
      </c>
      <c r="Y81" s="36">
        <f>RCF!C$33</f>
        <v>20.121274</v>
      </c>
      <c r="Z81" s="87">
        <f t="shared" ref="Z81" si="176">ROUNDDOWN(AA81*C81,1)</f>
        <v>473.6</v>
      </c>
      <c r="AA81" s="36">
        <f>RCF!C$39</f>
        <v>18.946666666666665</v>
      </c>
      <c r="AB81" s="87">
        <f t="shared" ref="AB81" si="177">ROUNDDOWN(C81*AC81,1)</f>
        <v>654.70000000000005</v>
      </c>
      <c r="AC81" s="36">
        <f>RCF!C$35</f>
        <v>26.19</v>
      </c>
      <c r="AD81" s="87">
        <f t="shared" ref="AD81" si="178">ROUND(AE81*C81,1)</f>
        <v>476.7</v>
      </c>
      <c r="AE81" s="81">
        <f>RCF!C$41</f>
        <v>19.068114999999999</v>
      </c>
    </row>
    <row r="82" spans="1:31" ht="27.6" x14ac:dyDescent="0.3">
      <c r="A82" s="244">
        <v>1220</v>
      </c>
      <c r="B82" s="145" t="s">
        <v>210</v>
      </c>
      <c r="C82" s="146">
        <v>30</v>
      </c>
      <c r="D82" s="178">
        <f t="shared" si="82"/>
        <v>572</v>
      </c>
      <c r="E82" s="177">
        <f t="shared" ref="E82:E89" si="179">AE82</f>
        <v>19.068114999999999</v>
      </c>
      <c r="F82" s="87">
        <f t="shared" si="83"/>
        <v>556.79999999999995</v>
      </c>
      <c r="G82" s="81">
        <f>RCF!C$5</f>
        <v>18.559999999999999</v>
      </c>
      <c r="H82" s="87">
        <f t="shared" si="84"/>
        <v>584.6</v>
      </c>
      <c r="I82" s="36">
        <f>RCF!C$37</f>
        <v>19.486666666666668</v>
      </c>
      <c r="J82" s="253">
        <f t="shared" si="85"/>
        <v>579.1</v>
      </c>
      <c r="K82" s="36">
        <f>RCF!C$7</f>
        <v>19.303333333333335</v>
      </c>
      <c r="L82" s="87">
        <f t="shared" si="92"/>
        <v>552.70000000000005</v>
      </c>
      <c r="M82" s="36">
        <f>RCF!C$9</f>
        <v>18.422999999999998</v>
      </c>
      <c r="N82" s="87">
        <f t="shared" si="93"/>
        <v>561.70000000000005</v>
      </c>
      <c r="O82" s="36">
        <f>RCF!C$11</f>
        <v>18.722000000000001</v>
      </c>
      <c r="P82" s="87">
        <f t="shared" si="53"/>
        <v>594.79999999999995</v>
      </c>
      <c r="Q82" s="36">
        <f>RCF!C$64</f>
        <v>19.826666666666664</v>
      </c>
      <c r="R82" s="147">
        <f t="shared" si="86"/>
        <v>574</v>
      </c>
      <c r="S82" s="36">
        <f>RCF!C$13</f>
        <v>19.133333333333333</v>
      </c>
      <c r="T82" s="87">
        <f t="shared" si="94"/>
        <v>527.1</v>
      </c>
      <c r="U82" s="36">
        <f>RCF!C$22</f>
        <v>17.57</v>
      </c>
      <c r="V82" s="87">
        <f t="shared" si="87"/>
        <v>589.1</v>
      </c>
      <c r="W82" s="36">
        <f>RCF!C$26</f>
        <v>19.636666666666667</v>
      </c>
      <c r="X82" s="87">
        <f t="shared" si="88"/>
        <v>603.6</v>
      </c>
      <c r="Y82" s="36">
        <f>RCF!C$33</f>
        <v>20.121274</v>
      </c>
      <c r="Z82" s="87">
        <f t="shared" si="89"/>
        <v>568.4</v>
      </c>
      <c r="AA82" s="36">
        <f>RCF!C$39</f>
        <v>18.946666666666665</v>
      </c>
      <c r="AB82" s="87">
        <f t="shared" si="90"/>
        <v>785.7</v>
      </c>
      <c r="AC82" s="36">
        <f>RCF!C$35</f>
        <v>26.19</v>
      </c>
      <c r="AD82" s="87">
        <f t="shared" si="91"/>
        <v>572</v>
      </c>
      <c r="AE82" s="81">
        <f>RCF!C$41</f>
        <v>19.068114999999999</v>
      </c>
    </row>
    <row r="83" spans="1:31" x14ac:dyDescent="0.3">
      <c r="A83" s="244">
        <v>1221</v>
      </c>
      <c r="B83" s="145" t="s">
        <v>211</v>
      </c>
      <c r="C83" s="146">
        <v>30</v>
      </c>
      <c r="D83" s="178">
        <f t="shared" ref="D83" si="180">ROUND(E83*C83,1)</f>
        <v>572</v>
      </c>
      <c r="E83" s="177">
        <f t="shared" si="179"/>
        <v>19.068114999999999</v>
      </c>
      <c r="F83" s="87">
        <f t="shared" ref="F83" si="181">ROUND(G83*$C83,1)</f>
        <v>556.79999999999995</v>
      </c>
      <c r="G83" s="81">
        <f>RCF!C$5</f>
        <v>18.559999999999999</v>
      </c>
      <c r="H83" s="87">
        <f t="shared" ref="H83" si="182">ROUNDDOWN(I83*C83,1)</f>
        <v>584.6</v>
      </c>
      <c r="I83" s="36">
        <f>RCF!C$37</f>
        <v>19.486666666666668</v>
      </c>
      <c r="J83" s="253">
        <f t="shared" ref="J83" si="183">ROUNDDOWN(C83*K83,1)</f>
        <v>579.1</v>
      </c>
      <c r="K83" s="36">
        <f>RCF!C$7</f>
        <v>19.303333333333335</v>
      </c>
      <c r="L83" s="87">
        <f t="shared" ref="L83" si="184">ROUND(M83*$C83,1)</f>
        <v>552.70000000000005</v>
      </c>
      <c r="M83" s="36">
        <f>RCF!C$9</f>
        <v>18.422999999999998</v>
      </c>
      <c r="N83" s="87">
        <f t="shared" ref="N83" si="185">ROUND(O83*$C83,1)</f>
        <v>561.70000000000005</v>
      </c>
      <c r="O83" s="36">
        <f>RCF!C$11</f>
        <v>18.722000000000001</v>
      </c>
      <c r="P83" s="87">
        <f t="shared" ref="P83" si="186">ROUNDDOWN(Q83*C83,1)</f>
        <v>594.79999999999995</v>
      </c>
      <c r="Q83" s="36">
        <f>RCF!C$64</f>
        <v>19.826666666666664</v>
      </c>
      <c r="R83" s="147">
        <f t="shared" ref="R83" si="187">ROUNDDOWN(C83*S83,1)</f>
        <v>574</v>
      </c>
      <c r="S83" s="36">
        <f>RCF!C$13</f>
        <v>19.133333333333333</v>
      </c>
      <c r="T83" s="87">
        <f t="shared" ref="T83" si="188">ROUND(U83*C83,1)</f>
        <v>527.1</v>
      </c>
      <c r="U83" s="36">
        <f>RCF!C$22</f>
        <v>17.57</v>
      </c>
      <c r="V83" s="87">
        <f t="shared" ref="V83" si="189">ROUND(W83*C83,1)</f>
        <v>589.1</v>
      </c>
      <c r="W83" s="36">
        <f>RCF!C$26</f>
        <v>19.636666666666667</v>
      </c>
      <c r="X83" s="87">
        <f t="shared" ref="X83" si="190">ROUNDDOWN(Y83*C83,1)</f>
        <v>603.6</v>
      </c>
      <c r="Y83" s="36">
        <f>RCF!C$33</f>
        <v>20.121274</v>
      </c>
      <c r="Z83" s="87">
        <f t="shared" ref="Z83" si="191">ROUNDDOWN(AA83*C83,1)</f>
        <v>568.4</v>
      </c>
      <c r="AA83" s="36">
        <f>RCF!C$39</f>
        <v>18.946666666666665</v>
      </c>
      <c r="AB83" s="87">
        <f t="shared" ref="AB83" si="192">ROUNDDOWN(C83*AC83,1)</f>
        <v>785.7</v>
      </c>
      <c r="AC83" s="36">
        <f>RCF!C$35</f>
        <v>26.19</v>
      </c>
      <c r="AD83" s="87">
        <f t="shared" ref="AD83" si="193">ROUND(AE83*C83,1)</f>
        <v>572</v>
      </c>
      <c r="AE83" s="81">
        <f>RCF!C$41</f>
        <v>19.068114999999999</v>
      </c>
    </row>
    <row r="84" spans="1:31" x14ac:dyDescent="0.3">
      <c r="A84" s="244">
        <v>1230</v>
      </c>
      <c r="B84" s="145" t="s">
        <v>212</v>
      </c>
      <c r="C84" s="146">
        <v>0</v>
      </c>
      <c r="D84" s="178">
        <f t="shared" ref="D84" si="194">ROUND(E84*C84,1)</f>
        <v>0</v>
      </c>
      <c r="E84" s="177">
        <f t="shared" si="179"/>
        <v>19.068114999999999</v>
      </c>
      <c r="F84" s="87">
        <f t="shared" ref="F84" si="195">ROUND(G84*$C84,1)</f>
        <v>0</v>
      </c>
      <c r="G84" s="81">
        <f>RCF!C$5</f>
        <v>18.559999999999999</v>
      </c>
      <c r="H84" s="87">
        <f t="shared" ref="H84" si="196">ROUNDDOWN(I84*C84,1)</f>
        <v>0</v>
      </c>
      <c r="I84" s="36">
        <f>RCF!C$37</f>
        <v>19.486666666666668</v>
      </c>
      <c r="J84" s="253">
        <f t="shared" ref="J84" si="197">ROUNDDOWN(C84*K84,1)</f>
        <v>0</v>
      </c>
      <c r="K84" s="36">
        <f>RCF!C$7</f>
        <v>19.303333333333335</v>
      </c>
      <c r="L84" s="87">
        <f t="shared" ref="L84" si="198">ROUND(M84*$C84,1)</f>
        <v>0</v>
      </c>
      <c r="M84" s="36">
        <f>RCF!C$9</f>
        <v>18.422999999999998</v>
      </c>
      <c r="N84" s="87">
        <f t="shared" ref="N84" si="199">ROUND(O84*$C84,1)</f>
        <v>0</v>
      </c>
      <c r="O84" s="36">
        <f>RCF!C$11</f>
        <v>18.722000000000001</v>
      </c>
      <c r="P84" s="87">
        <f t="shared" ref="P84" si="200">ROUNDDOWN(Q84*C84,1)</f>
        <v>0</v>
      </c>
      <c r="Q84" s="36">
        <f>RCF!C$64</f>
        <v>19.826666666666664</v>
      </c>
      <c r="R84" s="147">
        <f t="shared" ref="R84" si="201">ROUNDDOWN(C84*S84,1)</f>
        <v>0</v>
      </c>
      <c r="S84" s="36">
        <f>RCF!C$13</f>
        <v>19.133333333333333</v>
      </c>
      <c r="T84" s="87">
        <f t="shared" ref="T84" si="202">ROUND(U84*C84,1)</f>
        <v>0</v>
      </c>
      <c r="U84" s="36">
        <f>RCF!C$22</f>
        <v>17.57</v>
      </c>
      <c r="V84" s="87">
        <f t="shared" ref="V84" si="203">ROUND(W84*C84,1)</f>
        <v>0</v>
      </c>
      <c r="W84" s="36">
        <f>RCF!C$26</f>
        <v>19.636666666666667</v>
      </c>
      <c r="X84" s="87">
        <f t="shared" ref="X84" si="204">ROUNDDOWN(Y84*C84,1)</f>
        <v>0</v>
      </c>
      <c r="Y84" s="36">
        <f>RCF!C$33</f>
        <v>20.121274</v>
      </c>
      <c r="Z84" s="87">
        <f t="shared" ref="Z84" si="205">ROUNDDOWN(AA84*C84,1)</f>
        <v>0</v>
      </c>
      <c r="AA84" s="36">
        <f>RCF!C$39</f>
        <v>18.946666666666665</v>
      </c>
      <c r="AB84" s="87">
        <f t="shared" ref="AB84" si="206">ROUNDDOWN(C84*AC84,1)</f>
        <v>0</v>
      </c>
      <c r="AC84" s="36">
        <f>RCF!C$35</f>
        <v>26.19</v>
      </c>
      <c r="AD84" s="87">
        <f t="shared" ref="AD84" si="207">ROUND(AE84*C84,1)</f>
        <v>0</v>
      </c>
      <c r="AE84" s="81">
        <f>RCF!C$41</f>
        <v>19.068114999999999</v>
      </c>
    </row>
    <row r="85" spans="1:31" x14ac:dyDescent="0.3">
      <c r="A85" s="244">
        <v>1232</v>
      </c>
      <c r="B85" s="145" t="s">
        <v>213</v>
      </c>
      <c r="C85" s="146">
        <v>9</v>
      </c>
      <c r="D85" s="178">
        <f t="shared" ref="D85" si="208">ROUND(E85*C85,1)</f>
        <v>171.6</v>
      </c>
      <c r="E85" s="177">
        <f t="shared" si="179"/>
        <v>19.068114999999999</v>
      </c>
      <c r="F85" s="87">
        <f t="shared" ref="F85" si="209">ROUND(G85*$C85,1)</f>
        <v>167</v>
      </c>
      <c r="G85" s="81">
        <f>RCF!C$5</f>
        <v>18.559999999999999</v>
      </c>
      <c r="H85" s="87">
        <f t="shared" ref="H85" si="210">ROUNDDOWN(I85*C85,1)</f>
        <v>175.3</v>
      </c>
      <c r="I85" s="36">
        <f>RCF!C$37</f>
        <v>19.486666666666668</v>
      </c>
      <c r="J85" s="253">
        <f t="shared" ref="J85" si="211">ROUNDDOWN(C85*K85,1)</f>
        <v>173.7</v>
      </c>
      <c r="K85" s="36">
        <f>RCF!C$7</f>
        <v>19.303333333333335</v>
      </c>
      <c r="L85" s="87">
        <f t="shared" ref="L85" si="212">ROUND(M85*$C85,1)</f>
        <v>165.8</v>
      </c>
      <c r="M85" s="36">
        <f>RCF!C$9</f>
        <v>18.422999999999998</v>
      </c>
      <c r="N85" s="87">
        <f t="shared" ref="N85" si="213">ROUND(O85*$C85,1)</f>
        <v>168.5</v>
      </c>
      <c r="O85" s="36">
        <f>RCF!C$11</f>
        <v>18.722000000000001</v>
      </c>
      <c r="P85" s="87">
        <f t="shared" ref="P85" si="214">ROUNDDOWN(Q85*C85,1)</f>
        <v>178.4</v>
      </c>
      <c r="Q85" s="36">
        <f>RCF!C$64</f>
        <v>19.826666666666664</v>
      </c>
      <c r="R85" s="147">
        <f t="shared" ref="R85" si="215">ROUNDDOWN(C85*S85,1)</f>
        <v>172.2</v>
      </c>
      <c r="S85" s="36">
        <f>RCF!C$13</f>
        <v>19.133333333333333</v>
      </c>
      <c r="T85" s="87">
        <f t="shared" ref="T85" si="216">ROUND(U85*C85,1)</f>
        <v>158.1</v>
      </c>
      <c r="U85" s="36">
        <f>RCF!C$22</f>
        <v>17.57</v>
      </c>
      <c r="V85" s="87">
        <f t="shared" ref="V85" si="217">ROUND(W85*C85,1)</f>
        <v>176.7</v>
      </c>
      <c r="W85" s="36">
        <f>RCF!C$26</f>
        <v>19.636666666666667</v>
      </c>
      <c r="X85" s="87">
        <f t="shared" ref="X85" si="218">ROUNDDOWN(Y85*C85,1)</f>
        <v>181</v>
      </c>
      <c r="Y85" s="36">
        <f>RCF!C$33</f>
        <v>20.121274</v>
      </c>
      <c r="Z85" s="87">
        <f t="shared" ref="Z85" si="219">ROUNDDOWN(AA85*C85,1)</f>
        <v>170.5</v>
      </c>
      <c r="AA85" s="36">
        <f>RCF!C$39</f>
        <v>18.946666666666665</v>
      </c>
      <c r="AB85" s="87">
        <f t="shared" ref="AB85" si="220">ROUNDDOWN(C85*AC85,1)</f>
        <v>235.7</v>
      </c>
      <c r="AC85" s="36">
        <f>RCF!C$35</f>
        <v>26.19</v>
      </c>
      <c r="AD85" s="87">
        <f t="shared" ref="AD85" si="221">ROUND(AE85*C85,1)</f>
        <v>171.6</v>
      </c>
      <c r="AE85" s="81">
        <f>RCF!C$41</f>
        <v>19.068114999999999</v>
      </c>
    </row>
    <row r="86" spans="1:31" x14ac:dyDescent="0.3">
      <c r="A86" s="244">
        <v>1233</v>
      </c>
      <c r="B86" s="145" t="s">
        <v>214</v>
      </c>
      <c r="C86" s="146">
        <v>13</v>
      </c>
      <c r="D86" s="178">
        <f t="shared" ref="D86" si="222">ROUND(E86*C86,1)</f>
        <v>247.9</v>
      </c>
      <c r="E86" s="177">
        <f t="shared" si="179"/>
        <v>19.068114999999999</v>
      </c>
      <c r="F86" s="87">
        <f t="shared" ref="F86" si="223">ROUND(G86*$C86,1)</f>
        <v>241.3</v>
      </c>
      <c r="G86" s="81">
        <f>RCF!C$5</f>
        <v>18.559999999999999</v>
      </c>
      <c r="H86" s="87">
        <f t="shared" ref="H86" si="224">ROUNDDOWN(I86*C86,1)</f>
        <v>253.3</v>
      </c>
      <c r="I86" s="36">
        <f>RCF!C$37</f>
        <v>19.486666666666668</v>
      </c>
      <c r="J86" s="253">
        <f t="shared" ref="J86" si="225">ROUNDDOWN(C86*K86,1)</f>
        <v>250.9</v>
      </c>
      <c r="K86" s="36">
        <f>RCF!C$7</f>
        <v>19.303333333333335</v>
      </c>
      <c r="L86" s="87">
        <f t="shared" ref="L86" si="226">ROUND(M86*$C86,1)</f>
        <v>239.5</v>
      </c>
      <c r="M86" s="36">
        <f>RCF!C$9</f>
        <v>18.422999999999998</v>
      </c>
      <c r="N86" s="87">
        <f t="shared" ref="N86" si="227">ROUND(O86*$C86,1)</f>
        <v>243.4</v>
      </c>
      <c r="O86" s="36">
        <f>RCF!C$11</f>
        <v>18.722000000000001</v>
      </c>
      <c r="P86" s="87">
        <f t="shared" ref="P86" si="228">ROUNDDOWN(Q86*C86,1)</f>
        <v>257.7</v>
      </c>
      <c r="Q86" s="36">
        <f>RCF!C$64</f>
        <v>19.826666666666664</v>
      </c>
      <c r="R86" s="147">
        <f t="shared" ref="R86" si="229">ROUNDDOWN(C86*S86,1)</f>
        <v>248.7</v>
      </c>
      <c r="S86" s="36">
        <f>RCF!C$13</f>
        <v>19.133333333333333</v>
      </c>
      <c r="T86" s="87">
        <f t="shared" ref="T86" si="230">ROUND(U86*C86,1)</f>
        <v>228.4</v>
      </c>
      <c r="U86" s="36">
        <f>RCF!C$22</f>
        <v>17.57</v>
      </c>
      <c r="V86" s="87">
        <f t="shared" ref="V86" si="231">ROUND(W86*C86,1)</f>
        <v>255.3</v>
      </c>
      <c r="W86" s="36">
        <f>RCF!C$26</f>
        <v>19.636666666666667</v>
      </c>
      <c r="X86" s="87">
        <f t="shared" ref="X86" si="232">ROUNDDOWN(Y86*C86,1)</f>
        <v>261.5</v>
      </c>
      <c r="Y86" s="36">
        <f>RCF!C$33</f>
        <v>20.121274</v>
      </c>
      <c r="Z86" s="87">
        <f t="shared" ref="Z86" si="233">ROUNDDOWN(AA86*C86,1)</f>
        <v>246.3</v>
      </c>
      <c r="AA86" s="36">
        <f>RCF!C$39</f>
        <v>18.946666666666665</v>
      </c>
      <c r="AB86" s="87">
        <f t="shared" ref="AB86" si="234">ROUNDDOWN(C86*AC86,1)</f>
        <v>340.4</v>
      </c>
      <c r="AC86" s="36">
        <f>RCF!C$35</f>
        <v>26.19</v>
      </c>
      <c r="AD86" s="87">
        <f t="shared" ref="AD86" si="235">ROUND(AE86*C86,1)</f>
        <v>247.9</v>
      </c>
      <c r="AE86" s="81">
        <f>RCF!C$41</f>
        <v>19.068114999999999</v>
      </c>
    </row>
    <row r="87" spans="1:31" ht="27.6" x14ac:dyDescent="0.3">
      <c r="A87" s="244">
        <v>1234</v>
      </c>
      <c r="B87" s="145" t="s">
        <v>169</v>
      </c>
      <c r="C87" s="146">
        <v>40</v>
      </c>
      <c r="D87" s="178">
        <f t="shared" si="82"/>
        <v>762.7</v>
      </c>
      <c r="E87" s="177">
        <f t="shared" si="179"/>
        <v>19.068114999999999</v>
      </c>
      <c r="F87" s="87">
        <f t="shared" si="83"/>
        <v>742.4</v>
      </c>
      <c r="G87" s="81">
        <f>RCF!C$5</f>
        <v>18.559999999999999</v>
      </c>
      <c r="H87" s="87">
        <f t="shared" si="84"/>
        <v>779.4</v>
      </c>
      <c r="I87" s="36">
        <f>RCF!C$37</f>
        <v>19.486666666666668</v>
      </c>
      <c r="J87" s="253">
        <f t="shared" si="85"/>
        <v>772.1</v>
      </c>
      <c r="K87" s="36">
        <f>RCF!C$7</f>
        <v>19.303333333333335</v>
      </c>
      <c r="L87" s="87">
        <f t="shared" si="92"/>
        <v>736.9</v>
      </c>
      <c r="M87" s="36">
        <f>RCF!C$9</f>
        <v>18.422999999999998</v>
      </c>
      <c r="N87" s="87">
        <f t="shared" si="93"/>
        <v>748.9</v>
      </c>
      <c r="O87" s="36">
        <f>RCF!C$11</f>
        <v>18.722000000000001</v>
      </c>
      <c r="P87" s="87">
        <f t="shared" si="53"/>
        <v>793</v>
      </c>
      <c r="Q87" s="36">
        <f>RCF!C$64</f>
        <v>19.826666666666664</v>
      </c>
      <c r="R87" s="147">
        <f t="shared" si="86"/>
        <v>765.3</v>
      </c>
      <c r="S87" s="36">
        <f>RCF!C$13</f>
        <v>19.133333333333333</v>
      </c>
      <c r="T87" s="87">
        <f t="shared" si="94"/>
        <v>702.8</v>
      </c>
      <c r="U87" s="36">
        <f>RCF!C$22</f>
        <v>17.57</v>
      </c>
      <c r="V87" s="87">
        <f t="shared" si="87"/>
        <v>785.5</v>
      </c>
      <c r="W87" s="36">
        <f>RCF!C$26</f>
        <v>19.636666666666667</v>
      </c>
      <c r="X87" s="87">
        <f t="shared" si="88"/>
        <v>804.8</v>
      </c>
      <c r="Y87" s="36">
        <f>RCF!C$33</f>
        <v>20.121274</v>
      </c>
      <c r="Z87" s="87">
        <f t="shared" si="89"/>
        <v>757.8</v>
      </c>
      <c r="AA87" s="36">
        <f>RCF!C$39</f>
        <v>18.946666666666665</v>
      </c>
      <c r="AB87" s="87">
        <f t="shared" si="90"/>
        <v>1047.5999999999999</v>
      </c>
      <c r="AC87" s="36">
        <f>RCF!C$35</f>
        <v>26.19</v>
      </c>
      <c r="AD87" s="87">
        <f t="shared" si="91"/>
        <v>762.7</v>
      </c>
      <c r="AE87" s="81">
        <f>RCF!C$41</f>
        <v>19.068114999999999</v>
      </c>
    </row>
    <row r="88" spans="1:31" x14ac:dyDescent="0.3">
      <c r="A88" s="244">
        <v>1235</v>
      </c>
      <c r="B88" s="145" t="s">
        <v>170</v>
      </c>
      <c r="C88" s="146">
        <v>60</v>
      </c>
      <c r="D88" s="178">
        <f t="shared" si="82"/>
        <v>1144.0999999999999</v>
      </c>
      <c r="E88" s="177">
        <f t="shared" si="179"/>
        <v>19.068114999999999</v>
      </c>
      <c r="F88" s="87">
        <f t="shared" si="83"/>
        <v>1113.5999999999999</v>
      </c>
      <c r="G88" s="81">
        <f>RCF!C$5</f>
        <v>18.559999999999999</v>
      </c>
      <c r="H88" s="87">
        <f t="shared" si="84"/>
        <v>1169.2</v>
      </c>
      <c r="I88" s="36">
        <f>RCF!C$37</f>
        <v>19.486666666666668</v>
      </c>
      <c r="J88" s="253">
        <f t="shared" si="85"/>
        <v>1158.2</v>
      </c>
      <c r="K88" s="36">
        <f>RCF!C$7</f>
        <v>19.303333333333335</v>
      </c>
      <c r="L88" s="87">
        <f t="shared" si="92"/>
        <v>1105.4000000000001</v>
      </c>
      <c r="M88" s="36">
        <f>RCF!C$9</f>
        <v>18.422999999999998</v>
      </c>
      <c r="N88" s="87">
        <f t="shared" si="93"/>
        <v>1123.3</v>
      </c>
      <c r="O88" s="36">
        <f>RCF!C$11</f>
        <v>18.722000000000001</v>
      </c>
      <c r="P88" s="87">
        <f t="shared" si="53"/>
        <v>1189.5999999999999</v>
      </c>
      <c r="Q88" s="36">
        <f>RCF!C$64</f>
        <v>19.826666666666664</v>
      </c>
      <c r="R88" s="147">
        <f t="shared" si="86"/>
        <v>1148</v>
      </c>
      <c r="S88" s="36">
        <f>RCF!C$13</f>
        <v>19.133333333333333</v>
      </c>
      <c r="T88" s="87">
        <f t="shared" si="94"/>
        <v>1054.2</v>
      </c>
      <c r="U88" s="36">
        <f>RCF!C$22</f>
        <v>17.57</v>
      </c>
      <c r="V88" s="87">
        <f t="shared" si="87"/>
        <v>1178.2</v>
      </c>
      <c r="W88" s="36">
        <f>RCF!C$26</f>
        <v>19.636666666666667</v>
      </c>
      <c r="X88" s="87">
        <f t="shared" si="88"/>
        <v>1207.2</v>
      </c>
      <c r="Y88" s="36">
        <f>RCF!C$33</f>
        <v>20.121274</v>
      </c>
      <c r="Z88" s="87">
        <f t="shared" si="89"/>
        <v>1136.8</v>
      </c>
      <c r="AA88" s="36">
        <f>RCF!C$39</f>
        <v>18.946666666666665</v>
      </c>
      <c r="AB88" s="87">
        <f t="shared" si="90"/>
        <v>1571.4</v>
      </c>
      <c r="AC88" s="36">
        <f>RCF!C$35</f>
        <v>26.19</v>
      </c>
      <c r="AD88" s="87">
        <f t="shared" si="91"/>
        <v>1144.0999999999999</v>
      </c>
      <c r="AE88" s="81">
        <f>RCF!C$41</f>
        <v>19.068114999999999</v>
      </c>
    </row>
    <row r="89" spans="1:31" x14ac:dyDescent="0.3">
      <c r="A89" s="244">
        <v>1237</v>
      </c>
      <c r="B89" s="145" t="s">
        <v>215</v>
      </c>
      <c r="C89" s="146">
        <v>30</v>
      </c>
      <c r="D89" s="178">
        <f t="shared" ref="D89" si="236">ROUND(E89*C89,1)</f>
        <v>572</v>
      </c>
      <c r="E89" s="177">
        <f t="shared" si="179"/>
        <v>19.068114999999999</v>
      </c>
      <c r="F89" s="87">
        <f t="shared" ref="F89" si="237">ROUND(G89*$C89,1)</f>
        <v>556.79999999999995</v>
      </c>
      <c r="G89" s="81">
        <f>RCF!C$5</f>
        <v>18.559999999999999</v>
      </c>
      <c r="H89" s="87">
        <f t="shared" ref="H89" si="238">ROUNDDOWN(I89*C89,1)</f>
        <v>584.6</v>
      </c>
      <c r="I89" s="36">
        <f>RCF!C$37</f>
        <v>19.486666666666668</v>
      </c>
      <c r="J89" s="253">
        <f t="shared" ref="J89" si="239">ROUNDDOWN(C89*K89,1)</f>
        <v>579.1</v>
      </c>
      <c r="K89" s="36">
        <f>RCF!C$7</f>
        <v>19.303333333333335</v>
      </c>
      <c r="L89" s="87">
        <f t="shared" ref="L89" si="240">ROUND(M89*$C89,1)</f>
        <v>552.70000000000005</v>
      </c>
      <c r="M89" s="36">
        <f>RCF!C$9</f>
        <v>18.422999999999998</v>
      </c>
      <c r="N89" s="87">
        <f t="shared" ref="N89" si="241">ROUND(O89*$C89,1)</f>
        <v>561.70000000000005</v>
      </c>
      <c r="O89" s="36">
        <f>RCF!C$11</f>
        <v>18.722000000000001</v>
      </c>
      <c r="P89" s="87">
        <f t="shared" ref="P89" si="242">ROUNDDOWN(Q89*C89,1)</f>
        <v>594.79999999999995</v>
      </c>
      <c r="Q89" s="36">
        <f>RCF!C$64</f>
        <v>19.826666666666664</v>
      </c>
      <c r="R89" s="147">
        <f t="shared" ref="R89" si="243">ROUNDDOWN(C89*S89,1)</f>
        <v>574</v>
      </c>
      <c r="S89" s="36">
        <f>RCF!C$13</f>
        <v>19.133333333333333</v>
      </c>
      <c r="T89" s="87">
        <f t="shared" ref="T89" si="244">ROUND(U89*C89,1)</f>
        <v>527.1</v>
      </c>
      <c r="U89" s="36">
        <f>RCF!C$22</f>
        <v>17.57</v>
      </c>
      <c r="V89" s="87">
        <f t="shared" ref="V89" si="245">ROUND(W89*C89,1)</f>
        <v>589.1</v>
      </c>
      <c r="W89" s="36">
        <f>RCF!C$26</f>
        <v>19.636666666666667</v>
      </c>
      <c r="X89" s="87">
        <f t="shared" ref="X89" si="246">ROUNDDOWN(Y89*C89,1)</f>
        <v>603.6</v>
      </c>
      <c r="Y89" s="36">
        <f>RCF!C$33</f>
        <v>20.121274</v>
      </c>
      <c r="Z89" s="87">
        <f t="shared" ref="Z89" si="247">ROUNDDOWN(AA89*C89,1)</f>
        <v>568.4</v>
      </c>
      <c r="AA89" s="36">
        <f>RCF!C$39</f>
        <v>18.946666666666665</v>
      </c>
      <c r="AB89" s="87">
        <f t="shared" ref="AB89" si="248">ROUNDDOWN(C89*AC89,1)</f>
        <v>785.7</v>
      </c>
      <c r="AC89" s="36">
        <f>RCF!C$35</f>
        <v>26.19</v>
      </c>
      <c r="AD89" s="87">
        <f t="shared" ref="AD89" si="249">ROUND(AE89*C89,1)</f>
        <v>572</v>
      </c>
      <c r="AE89" s="81">
        <f>RCF!C$41</f>
        <v>19.068114999999999</v>
      </c>
    </row>
    <row r="90" spans="1:31" x14ac:dyDescent="0.3">
      <c r="A90" s="236">
        <v>1461</v>
      </c>
      <c r="B90" s="145" t="s">
        <v>171</v>
      </c>
      <c r="C90" s="146"/>
      <c r="D90" s="87">
        <f t="shared" si="82"/>
        <v>0</v>
      </c>
      <c r="E90" s="81">
        <f>RCF!$C$47</f>
        <v>59.121481687424989</v>
      </c>
      <c r="F90" s="87">
        <f t="shared" si="83"/>
        <v>0</v>
      </c>
      <c r="G90" s="81">
        <f>RCF!C$5</f>
        <v>18.559999999999999</v>
      </c>
      <c r="H90" s="87">
        <f t="shared" si="84"/>
        <v>0</v>
      </c>
      <c r="I90" s="36">
        <f>RCF!C$37</f>
        <v>19.486666666666668</v>
      </c>
      <c r="J90" s="253">
        <f t="shared" si="85"/>
        <v>0</v>
      </c>
      <c r="K90" s="36">
        <f>RCF!C$7</f>
        <v>19.303333333333335</v>
      </c>
      <c r="L90" s="87">
        <f t="shared" si="92"/>
        <v>0</v>
      </c>
      <c r="M90" s="36">
        <f>RCF!C$9</f>
        <v>18.422999999999998</v>
      </c>
      <c r="N90" s="87">
        <f t="shared" si="93"/>
        <v>0</v>
      </c>
      <c r="O90" s="36">
        <f>RCF!C$11</f>
        <v>18.722000000000001</v>
      </c>
      <c r="P90" s="87">
        <f t="shared" si="53"/>
        <v>0</v>
      </c>
      <c r="Q90" s="36">
        <f>RCF!C$64</f>
        <v>19.826666666666664</v>
      </c>
      <c r="R90" s="147">
        <f t="shared" si="86"/>
        <v>0</v>
      </c>
      <c r="S90" s="36">
        <f>RCF!C$13</f>
        <v>19.133333333333333</v>
      </c>
      <c r="T90" s="87">
        <f t="shared" si="94"/>
        <v>0</v>
      </c>
      <c r="U90" s="36">
        <f>RCF!C$22</f>
        <v>17.57</v>
      </c>
      <c r="V90" s="87">
        <f t="shared" si="87"/>
        <v>0</v>
      </c>
      <c r="W90" s="36">
        <f>RCF!C$26</f>
        <v>19.636666666666667</v>
      </c>
      <c r="X90" s="87">
        <f t="shared" si="88"/>
        <v>0</v>
      </c>
      <c r="Y90" s="36">
        <f>RCF!C$33</f>
        <v>20.121274</v>
      </c>
      <c r="Z90" s="87">
        <f t="shared" si="89"/>
        <v>0</v>
      </c>
      <c r="AA90" s="36">
        <f>RCF!C$39</f>
        <v>18.946666666666665</v>
      </c>
      <c r="AB90" s="87">
        <f t="shared" si="90"/>
        <v>0</v>
      </c>
      <c r="AC90" s="36">
        <f>RCF!C$35</f>
        <v>26.19</v>
      </c>
      <c r="AD90" s="87">
        <f t="shared" si="91"/>
        <v>0</v>
      </c>
      <c r="AE90" s="81">
        <f>RCF!C$41</f>
        <v>19.068114999999999</v>
      </c>
    </row>
    <row r="91" spans="1:31" x14ac:dyDescent="0.3">
      <c r="A91" s="236">
        <v>1705</v>
      </c>
      <c r="B91" s="145" t="s">
        <v>21</v>
      </c>
      <c r="C91" s="146">
        <v>40</v>
      </c>
      <c r="D91" s="87">
        <f t="shared" si="82"/>
        <v>2364.9</v>
      </c>
      <c r="E91" s="81">
        <f>RCF!$C$47</f>
        <v>59.121481687424989</v>
      </c>
      <c r="F91" s="87">
        <f t="shared" si="83"/>
        <v>742.4</v>
      </c>
      <c r="G91" s="81">
        <f>RCF!C$5</f>
        <v>18.559999999999999</v>
      </c>
      <c r="H91" s="87">
        <f t="shared" si="84"/>
        <v>779.4</v>
      </c>
      <c r="I91" s="36">
        <f>RCF!C$37</f>
        <v>19.486666666666668</v>
      </c>
      <c r="J91" s="253">
        <f t="shared" si="85"/>
        <v>772.1</v>
      </c>
      <c r="K91" s="36">
        <f>RCF!C$7</f>
        <v>19.303333333333335</v>
      </c>
      <c r="L91" s="87">
        <f t="shared" si="92"/>
        <v>736.9</v>
      </c>
      <c r="M91" s="36">
        <f>RCF!C$9</f>
        <v>18.422999999999998</v>
      </c>
      <c r="N91" s="87">
        <f t="shared" si="93"/>
        <v>748.9</v>
      </c>
      <c r="O91" s="36">
        <f>RCF!C$11</f>
        <v>18.722000000000001</v>
      </c>
      <c r="P91" s="87">
        <f t="shared" si="53"/>
        <v>793</v>
      </c>
      <c r="Q91" s="36">
        <f>RCF!C$64</f>
        <v>19.826666666666664</v>
      </c>
      <c r="R91" s="147">
        <f t="shared" si="86"/>
        <v>765.3</v>
      </c>
      <c r="S91" s="36">
        <f>RCF!C$13</f>
        <v>19.133333333333333</v>
      </c>
      <c r="T91" s="87">
        <f t="shared" si="94"/>
        <v>702.8</v>
      </c>
      <c r="U91" s="36">
        <f>RCF!C$22</f>
        <v>17.57</v>
      </c>
      <c r="V91" s="87">
        <f t="shared" si="87"/>
        <v>785.5</v>
      </c>
      <c r="W91" s="36">
        <f>RCF!C$26</f>
        <v>19.636666666666667</v>
      </c>
      <c r="X91" s="87">
        <f t="shared" si="88"/>
        <v>804.8</v>
      </c>
      <c r="Y91" s="36">
        <f>RCF!C$33</f>
        <v>20.121274</v>
      </c>
      <c r="Z91" s="87">
        <f t="shared" si="89"/>
        <v>757.8</v>
      </c>
      <c r="AA91" s="36">
        <f>RCF!C$39</f>
        <v>18.946666666666665</v>
      </c>
      <c r="AB91" s="87">
        <f t="shared" si="90"/>
        <v>1047.5999999999999</v>
      </c>
      <c r="AC91" s="36">
        <f>RCF!C$35</f>
        <v>26.19</v>
      </c>
      <c r="AD91" s="87">
        <f t="shared" si="91"/>
        <v>762.7</v>
      </c>
      <c r="AE91" s="81">
        <f>RCF!C$41</f>
        <v>19.068114999999999</v>
      </c>
    </row>
    <row r="92" spans="1:31" x14ac:dyDescent="0.3">
      <c r="A92" s="236">
        <v>1725</v>
      </c>
      <c r="B92" s="145" t="s">
        <v>22</v>
      </c>
      <c r="C92" s="146">
        <v>12.5</v>
      </c>
      <c r="D92" s="87">
        <f t="shared" si="82"/>
        <v>739</v>
      </c>
      <c r="E92" s="81">
        <f>RCF!$C$47</f>
        <v>59.121481687424989</v>
      </c>
      <c r="F92" s="87">
        <f t="shared" si="83"/>
        <v>232</v>
      </c>
      <c r="G92" s="81">
        <f>RCF!C$5</f>
        <v>18.559999999999999</v>
      </c>
      <c r="H92" s="87">
        <f t="shared" si="84"/>
        <v>243.5</v>
      </c>
      <c r="I92" s="36">
        <f>RCF!C$37</f>
        <v>19.486666666666668</v>
      </c>
      <c r="J92" s="253">
        <f t="shared" si="85"/>
        <v>241.2</v>
      </c>
      <c r="K92" s="36">
        <f>RCF!C$7</f>
        <v>19.303333333333335</v>
      </c>
      <c r="L92" s="87">
        <f t="shared" si="92"/>
        <v>230.3</v>
      </c>
      <c r="M92" s="36">
        <f>RCF!C$9</f>
        <v>18.422999999999998</v>
      </c>
      <c r="N92" s="87">
        <f t="shared" si="93"/>
        <v>234</v>
      </c>
      <c r="O92" s="36">
        <f>RCF!C$11</f>
        <v>18.722000000000001</v>
      </c>
      <c r="P92" s="87">
        <f t="shared" si="53"/>
        <v>247.8</v>
      </c>
      <c r="Q92" s="36">
        <f>RCF!C$64</f>
        <v>19.826666666666664</v>
      </c>
      <c r="R92" s="147">
        <f t="shared" si="86"/>
        <v>239.1</v>
      </c>
      <c r="S92" s="36">
        <f>RCF!C$13</f>
        <v>19.133333333333333</v>
      </c>
      <c r="T92" s="87">
        <f t="shared" si="94"/>
        <v>219.6</v>
      </c>
      <c r="U92" s="36">
        <f>RCF!C$22</f>
        <v>17.57</v>
      </c>
      <c r="V92" s="87">
        <f t="shared" si="87"/>
        <v>245.5</v>
      </c>
      <c r="W92" s="36">
        <f>RCF!C$26</f>
        <v>19.636666666666667</v>
      </c>
      <c r="X92" s="87">
        <f t="shared" si="88"/>
        <v>251.5</v>
      </c>
      <c r="Y92" s="36">
        <f>RCF!C$33</f>
        <v>20.121274</v>
      </c>
      <c r="Z92" s="87">
        <f t="shared" si="89"/>
        <v>236.8</v>
      </c>
      <c r="AA92" s="36">
        <f>RCF!C$39</f>
        <v>18.946666666666665</v>
      </c>
      <c r="AB92" s="87">
        <f t="shared" si="90"/>
        <v>327.3</v>
      </c>
      <c r="AC92" s="36">
        <f>RCF!C$35</f>
        <v>26.19</v>
      </c>
      <c r="AD92" s="87">
        <f t="shared" si="91"/>
        <v>238.4</v>
      </c>
      <c r="AE92" s="81">
        <f>RCF!C$41</f>
        <v>19.068114999999999</v>
      </c>
    </row>
    <row r="93" spans="1:31" x14ac:dyDescent="0.3">
      <c r="A93" s="236">
        <v>1995</v>
      </c>
      <c r="B93" s="145" t="s">
        <v>23</v>
      </c>
      <c r="C93" s="146">
        <v>10</v>
      </c>
      <c r="D93" s="87">
        <f t="shared" si="82"/>
        <v>591.20000000000005</v>
      </c>
      <c r="E93" s="81">
        <f>RCF!$C$47</f>
        <v>59.121481687424989</v>
      </c>
      <c r="F93" s="87">
        <f t="shared" si="83"/>
        <v>185.6</v>
      </c>
      <c r="G93" s="81">
        <f>RCF!C$5</f>
        <v>18.559999999999999</v>
      </c>
      <c r="H93" s="87">
        <f t="shared" si="84"/>
        <v>194.8</v>
      </c>
      <c r="I93" s="36">
        <f>RCF!C$37</f>
        <v>19.486666666666668</v>
      </c>
      <c r="J93" s="253">
        <f t="shared" si="85"/>
        <v>193</v>
      </c>
      <c r="K93" s="36">
        <f>RCF!C$7</f>
        <v>19.303333333333335</v>
      </c>
      <c r="L93" s="87">
        <f t="shared" si="92"/>
        <v>184.2</v>
      </c>
      <c r="M93" s="36">
        <f>RCF!C$9</f>
        <v>18.422999999999998</v>
      </c>
      <c r="N93" s="87">
        <f t="shared" si="93"/>
        <v>187.2</v>
      </c>
      <c r="O93" s="36">
        <f>RCF!C$11</f>
        <v>18.722000000000001</v>
      </c>
      <c r="P93" s="87">
        <f t="shared" si="53"/>
        <v>198.2</v>
      </c>
      <c r="Q93" s="36">
        <f>RCF!C$64</f>
        <v>19.826666666666664</v>
      </c>
      <c r="R93" s="147">
        <f t="shared" si="86"/>
        <v>191.3</v>
      </c>
      <c r="S93" s="36">
        <f>RCF!C$13</f>
        <v>19.133333333333333</v>
      </c>
      <c r="T93" s="87">
        <f t="shared" si="94"/>
        <v>175.7</v>
      </c>
      <c r="U93" s="36">
        <f>RCF!C$22</f>
        <v>17.57</v>
      </c>
      <c r="V93" s="87">
        <f t="shared" si="87"/>
        <v>196.4</v>
      </c>
      <c r="W93" s="36">
        <f>RCF!C$26</f>
        <v>19.636666666666667</v>
      </c>
      <c r="X93" s="87">
        <f t="shared" si="88"/>
        <v>201.2</v>
      </c>
      <c r="Y93" s="36">
        <f>RCF!C$33</f>
        <v>20.121274</v>
      </c>
      <c r="Z93" s="87">
        <f t="shared" si="89"/>
        <v>189.4</v>
      </c>
      <c r="AA93" s="36">
        <f>RCF!C$39</f>
        <v>18.946666666666665</v>
      </c>
      <c r="AB93" s="87">
        <f t="shared" si="90"/>
        <v>261.89999999999998</v>
      </c>
      <c r="AC93" s="36">
        <f>RCF!C$35</f>
        <v>26.19</v>
      </c>
      <c r="AD93" s="87">
        <f t="shared" si="91"/>
        <v>190.7</v>
      </c>
      <c r="AE93" s="81">
        <f>RCF!C$41</f>
        <v>19.068114999999999</v>
      </c>
    </row>
    <row r="94" spans="1:31" x14ac:dyDescent="0.3">
      <c r="A94" s="236">
        <v>1996</v>
      </c>
      <c r="B94" s="145" t="s">
        <v>24</v>
      </c>
      <c r="C94" s="146">
        <v>6</v>
      </c>
      <c r="D94" s="87">
        <f t="shared" si="82"/>
        <v>354.7</v>
      </c>
      <c r="E94" s="81">
        <f>RCF!$C$47</f>
        <v>59.121481687424989</v>
      </c>
      <c r="F94" s="87">
        <f t="shared" si="83"/>
        <v>111.4</v>
      </c>
      <c r="G94" s="81">
        <f>RCF!C$5</f>
        <v>18.559999999999999</v>
      </c>
      <c r="H94" s="87">
        <f t="shared" si="84"/>
        <v>116.9</v>
      </c>
      <c r="I94" s="36">
        <f>RCF!C$37</f>
        <v>19.486666666666668</v>
      </c>
      <c r="J94" s="253">
        <f t="shared" si="85"/>
        <v>115.8</v>
      </c>
      <c r="K94" s="36">
        <f>RCF!C$7</f>
        <v>19.303333333333335</v>
      </c>
      <c r="L94" s="87">
        <f t="shared" si="92"/>
        <v>110.5</v>
      </c>
      <c r="M94" s="36">
        <f>RCF!C$9</f>
        <v>18.422999999999998</v>
      </c>
      <c r="N94" s="87">
        <f t="shared" si="93"/>
        <v>112.3</v>
      </c>
      <c r="O94" s="36">
        <f>RCF!C$11</f>
        <v>18.722000000000001</v>
      </c>
      <c r="P94" s="87">
        <f t="shared" si="53"/>
        <v>118.9</v>
      </c>
      <c r="Q94" s="36">
        <f>RCF!C$64</f>
        <v>19.826666666666664</v>
      </c>
      <c r="R94" s="147">
        <f t="shared" si="86"/>
        <v>114.8</v>
      </c>
      <c r="S94" s="36">
        <f>RCF!C$13</f>
        <v>19.133333333333333</v>
      </c>
      <c r="T94" s="87">
        <f t="shared" si="94"/>
        <v>105.4</v>
      </c>
      <c r="U94" s="36">
        <f>RCF!C$22</f>
        <v>17.57</v>
      </c>
      <c r="V94" s="87">
        <f t="shared" si="87"/>
        <v>117.8</v>
      </c>
      <c r="W94" s="36">
        <f>RCF!C$26</f>
        <v>19.636666666666667</v>
      </c>
      <c r="X94" s="87">
        <f t="shared" si="88"/>
        <v>120.7</v>
      </c>
      <c r="Y94" s="36">
        <f>RCF!C$33</f>
        <v>20.121274</v>
      </c>
      <c r="Z94" s="87">
        <f t="shared" si="89"/>
        <v>113.6</v>
      </c>
      <c r="AA94" s="36">
        <f>RCF!C$39</f>
        <v>18.946666666666665</v>
      </c>
      <c r="AB94" s="87">
        <f t="shared" si="90"/>
        <v>157.1</v>
      </c>
      <c r="AC94" s="36">
        <f>RCF!C$35</f>
        <v>26.19</v>
      </c>
      <c r="AD94" s="87">
        <f t="shared" si="91"/>
        <v>114.4</v>
      </c>
      <c r="AE94" s="81">
        <f>RCF!C$41</f>
        <v>19.068114999999999</v>
      </c>
    </row>
    <row r="95" spans="1:31" x14ac:dyDescent="0.3">
      <c r="A95" s="236">
        <v>2137</v>
      </c>
      <c r="B95" s="145" t="s">
        <v>25</v>
      </c>
      <c r="C95" s="146">
        <v>60</v>
      </c>
      <c r="D95" s="87">
        <f t="shared" si="82"/>
        <v>3547.3</v>
      </c>
      <c r="E95" s="81">
        <f>RCF!$C$47</f>
        <v>59.121481687424989</v>
      </c>
      <c r="F95" s="87">
        <f t="shared" si="83"/>
        <v>1113.5999999999999</v>
      </c>
      <c r="G95" s="81">
        <f>RCF!C$5</f>
        <v>18.559999999999999</v>
      </c>
      <c r="H95" s="87">
        <f t="shared" si="84"/>
        <v>1169.2</v>
      </c>
      <c r="I95" s="36">
        <f>RCF!C$37</f>
        <v>19.486666666666668</v>
      </c>
      <c r="J95" s="253">
        <f t="shared" si="85"/>
        <v>1158.2</v>
      </c>
      <c r="K95" s="36">
        <f>RCF!C$7</f>
        <v>19.303333333333335</v>
      </c>
      <c r="L95" s="87">
        <f t="shared" si="92"/>
        <v>1105.4000000000001</v>
      </c>
      <c r="M95" s="36">
        <f>RCF!C$9</f>
        <v>18.422999999999998</v>
      </c>
      <c r="N95" s="87">
        <f t="shared" si="93"/>
        <v>1123.3</v>
      </c>
      <c r="O95" s="36">
        <f>RCF!C$11</f>
        <v>18.722000000000001</v>
      </c>
      <c r="P95" s="87">
        <f t="shared" si="53"/>
        <v>1189.5999999999999</v>
      </c>
      <c r="Q95" s="36">
        <f>RCF!C$64</f>
        <v>19.826666666666664</v>
      </c>
      <c r="R95" s="147">
        <f t="shared" si="86"/>
        <v>1148</v>
      </c>
      <c r="S95" s="36">
        <f>RCF!C$13</f>
        <v>19.133333333333333</v>
      </c>
      <c r="T95" s="87">
        <f t="shared" si="94"/>
        <v>1054.2</v>
      </c>
      <c r="U95" s="36">
        <f>RCF!C$22</f>
        <v>17.57</v>
      </c>
      <c r="V95" s="87">
        <f t="shared" si="87"/>
        <v>1178.2</v>
      </c>
      <c r="W95" s="36">
        <f>RCF!C$26</f>
        <v>19.636666666666667</v>
      </c>
      <c r="X95" s="87">
        <f t="shared" si="88"/>
        <v>1207.2</v>
      </c>
      <c r="Y95" s="36">
        <f>RCF!C$33</f>
        <v>20.121274</v>
      </c>
      <c r="Z95" s="87">
        <f t="shared" si="89"/>
        <v>1136.8</v>
      </c>
      <c r="AA95" s="36">
        <f>RCF!C$39</f>
        <v>18.946666666666665</v>
      </c>
      <c r="AB95" s="87">
        <f t="shared" si="90"/>
        <v>1571.4</v>
      </c>
      <c r="AC95" s="36">
        <f>RCF!C$35</f>
        <v>26.19</v>
      </c>
      <c r="AD95" s="87">
        <f t="shared" si="91"/>
        <v>1144.0999999999999</v>
      </c>
      <c r="AE95" s="81">
        <f>RCF!C$41</f>
        <v>19.068114999999999</v>
      </c>
    </row>
    <row r="96" spans="1:31" x14ac:dyDescent="0.3">
      <c r="A96" s="236">
        <v>2442</v>
      </c>
      <c r="B96" s="145" t="s">
        <v>26</v>
      </c>
      <c r="C96" s="146">
        <v>18</v>
      </c>
      <c r="D96" s="87">
        <f t="shared" si="82"/>
        <v>1064.2</v>
      </c>
      <c r="E96" s="81">
        <f>RCF!$C$47</f>
        <v>59.121481687424989</v>
      </c>
      <c r="F96" s="87">
        <f t="shared" si="83"/>
        <v>334.1</v>
      </c>
      <c r="G96" s="81">
        <f>RCF!C$5</f>
        <v>18.559999999999999</v>
      </c>
      <c r="H96" s="87">
        <f t="shared" si="84"/>
        <v>350.7</v>
      </c>
      <c r="I96" s="36">
        <f>RCF!C$37</f>
        <v>19.486666666666668</v>
      </c>
      <c r="J96" s="253">
        <f t="shared" si="85"/>
        <v>347.4</v>
      </c>
      <c r="K96" s="36">
        <f>RCF!C$7</f>
        <v>19.303333333333335</v>
      </c>
      <c r="L96" s="87">
        <f t="shared" si="92"/>
        <v>331.6</v>
      </c>
      <c r="M96" s="36">
        <f>RCF!C$9</f>
        <v>18.422999999999998</v>
      </c>
      <c r="N96" s="87">
        <f t="shared" si="93"/>
        <v>337</v>
      </c>
      <c r="O96" s="36">
        <f>RCF!C$11</f>
        <v>18.722000000000001</v>
      </c>
      <c r="P96" s="87">
        <f t="shared" si="53"/>
        <v>356.8</v>
      </c>
      <c r="Q96" s="36">
        <f>RCF!C$64</f>
        <v>19.826666666666664</v>
      </c>
      <c r="R96" s="147">
        <f t="shared" si="86"/>
        <v>344.4</v>
      </c>
      <c r="S96" s="36">
        <f>RCF!C$13</f>
        <v>19.133333333333333</v>
      </c>
      <c r="T96" s="87">
        <f t="shared" si="94"/>
        <v>316.3</v>
      </c>
      <c r="U96" s="36">
        <f>RCF!C$22</f>
        <v>17.57</v>
      </c>
      <c r="V96" s="87">
        <f t="shared" si="87"/>
        <v>353.5</v>
      </c>
      <c r="W96" s="36">
        <f>RCF!C$26</f>
        <v>19.636666666666667</v>
      </c>
      <c r="X96" s="87">
        <f t="shared" si="88"/>
        <v>362.1</v>
      </c>
      <c r="Y96" s="36">
        <f>RCF!C$33</f>
        <v>20.121274</v>
      </c>
      <c r="Z96" s="87">
        <f t="shared" si="89"/>
        <v>341</v>
      </c>
      <c r="AA96" s="36">
        <f>RCF!C$39</f>
        <v>18.946666666666665</v>
      </c>
      <c r="AB96" s="87">
        <f t="shared" si="90"/>
        <v>471.4</v>
      </c>
      <c r="AC96" s="36">
        <f>RCF!C$35</f>
        <v>26.19</v>
      </c>
      <c r="AD96" s="87">
        <f t="shared" si="91"/>
        <v>343.2</v>
      </c>
      <c r="AE96" s="81">
        <f>RCF!C$41</f>
        <v>19.068114999999999</v>
      </c>
    </row>
    <row r="97" spans="1:31" x14ac:dyDescent="0.3">
      <c r="A97" s="236">
        <v>2447</v>
      </c>
      <c r="B97" s="145" t="s">
        <v>216</v>
      </c>
      <c r="C97" s="146">
        <v>85.4</v>
      </c>
      <c r="D97" s="87">
        <f t="shared" ref="D97" si="250">ROUND(E97*C97,1)</f>
        <v>5049</v>
      </c>
      <c r="E97" s="81">
        <f>RCF!$C$47</f>
        <v>59.121481687424989</v>
      </c>
      <c r="F97" s="87">
        <f t="shared" ref="F97" si="251">ROUND(G97*$C97,1)</f>
        <v>1585</v>
      </c>
      <c r="G97" s="81">
        <f>RCF!C$5</f>
        <v>18.559999999999999</v>
      </c>
      <c r="H97" s="87">
        <f t="shared" ref="H97" si="252">ROUNDDOWN(I97*C97,1)</f>
        <v>1664.1</v>
      </c>
      <c r="I97" s="36">
        <f>RCF!C$37</f>
        <v>19.486666666666668</v>
      </c>
      <c r="J97" s="253">
        <f t="shared" ref="J97" si="253">ROUNDDOWN(C97*K97,1)</f>
        <v>1648.5</v>
      </c>
      <c r="K97" s="36">
        <f>RCF!C$7</f>
        <v>19.303333333333335</v>
      </c>
      <c r="L97" s="87">
        <f t="shared" ref="L97" si="254">ROUND(M97*$C97,1)</f>
        <v>1573.3</v>
      </c>
      <c r="M97" s="36">
        <f>RCF!C$9</f>
        <v>18.422999999999998</v>
      </c>
      <c r="N97" s="87">
        <f t="shared" ref="N97" si="255">ROUND(O97*$C97,1)</f>
        <v>1598.9</v>
      </c>
      <c r="O97" s="36">
        <f>RCF!C$11</f>
        <v>18.722000000000001</v>
      </c>
      <c r="P97" s="87">
        <f t="shared" ref="P97" si="256">ROUNDDOWN(Q97*C97,1)</f>
        <v>1693.1</v>
      </c>
      <c r="Q97" s="36">
        <f>RCF!C$64</f>
        <v>19.826666666666664</v>
      </c>
      <c r="R97" s="147">
        <f t="shared" ref="R97" si="257">ROUNDDOWN(C97*S97,1)</f>
        <v>1633.9</v>
      </c>
      <c r="S97" s="36">
        <f>RCF!C$13</f>
        <v>19.133333333333333</v>
      </c>
      <c r="T97" s="87">
        <f t="shared" ref="T97" si="258">ROUND(U97*C97,1)</f>
        <v>1500.5</v>
      </c>
      <c r="U97" s="36">
        <f>RCF!C$22</f>
        <v>17.57</v>
      </c>
      <c r="V97" s="87">
        <f t="shared" ref="V97" si="259">ROUND(W97*C97,1)</f>
        <v>1677</v>
      </c>
      <c r="W97" s="36">
        <f>RCF!C$26</f>
        <v>19.636666666666667</v>
      </c>
      <c r="X97" s="87">
        <f t="shared" ref="X97" si="260">ROUNDDOWN(Y97*C97,1)</f>
        <v>1718.3</v>
      </c>
      <c r="Y97" s="36">
        <f>RCF!C$33</f>
        <v>20.121274</v>
      </c>
      <c r="Z97" s="87">
        <f t="shared" ref="Z97" si="261">ROUNDDOWN(AA97*C97,1)</f>
        <v>1618</v>
      </c>
      <c r="AA97" s="36">
        <f>RCF!C$39</f>
        <v>18.946666666666665</v>
      </c>
      <c r="AB97" s="87">
        <f t="shared" ref="AB97" si="262">ROUNDDOWN(C97*AC97,1)</f>
        <v>2236.6</v>
      </c>
      <c r="AC97" s="36">
        <f>RCF!C$35</f>
        <v>26.19</v>
      </c>
      <c r="AD97" s="87">
        <f t="shared" ref="AD97" si="263">ROUND(AE97*C97,1)</f>
        <v>1628.4</v>
      </c>
      <c r="AE97" s="81">
        <f>RCF!C$41</f>
        <v>19.068114999999999</v>
      </c>
    </row>
    <row r="98" spans="1:31" x14ac:dyDescent="0.3">
      <c r="A98" s="236">
        <v>2565</v>
      </c>
      <c r="B98" s="145" t="s">
        <v>27</v>
      </c>
      <c r="C98" s="146">
        <v>3</v>
      </c>
      <c r="D98" s="87">
        <f t="shared" si="82"/>
        <v>177.4</v>
      </c>
      <c r="E98" s="81">
        <f>RCF!$C$47</f>
        <v>59.121481687424989</v>
      </c>
      <c r="F98" s="87">
        <f t="shared" si="83"/>
        <v>55.7</v>
      </c>
      <c r="G98" s="81">
        <f>RCF!C$5</f>
        <v>18.559999999999999</v>
      </c>
      <c r="H98" s="87">
        <f t="shared" si="84"/>
        <v>58.4</v>
      </c>
      <c r="I98" s="36">
        <f>RCF!C$37</f>
        <v>19.486666666666668</v>
      </c>
      <c r="J98" s="253">
        <f t="shared" si="85"/>
        <v>57.9</v>
      </c>
      <c r="K98" s="36">
        <f>RCF!C$7</f>
        <v>19.303333333333335</v>
      </c>
      <c r="L98" s="87">
        <f t="shared" si="92"/>
        <v>55.3</v>
      </c>
      <c r="M98" s="36">
        <f>RCF!C$9</f>
        <v>18.422999999999998</v>
      </c>
      <c r="N98" s="87">
        <f t="shared" si="93"/>
        <v>56.2</v>
      </c>
      <c r="O98" s="36">
        <f>RCF!C$11</f>
        <v>18.722000000000001</v>
      </c>
      <c r="P98" s="87">
        <f t="shared" si="53"/>
        <v>59.4</v>
      </c>
      <c r="Q98" s="36">
        <f>RCF!C$64</f>
        <v>19.826666666666664</v>
      </c>
      <c r="R98" s="147">
        <f t="shared" si="86"/>
        <v>57.4</v>
      </c>
      <c r="S98" s="36">
        <f>RCF!C$13</f>
        <v>19.133333333333333</v>
      </c>
      <c r="T98" s="87">
        <f t="shared" si="94"/>
        <v>52.7</v>
      </c>
      <c r="U98" s="36">
        <f>RCF!C$22</f>
        <v>17.57</v>
      </c>
      <c r="V98" s="87">
        <f t="shared" si="87"/>
        <v>58.9</v>
      </c>
      <c r="W98" s="36">
        <f>RCF!C$26</f>
        <v>19.636666666666667</v>
      </c>
      <c r="X98" s="87">
        <f t="shared" si="88"/>
        <v>60.3</v>
      </c>
      <c r="Y98" s="36">
        <f>RCF!C$33</f>
        <v>20.121274</v>
      </c>
      <c r="Z98" s="87">
        <f t="shared" si="89"/>
        <v>56.8</v>
      </c>
      <c r="AA98" s="36">
        <f>RCF!C$39</f>
        <v>18.946666666666665</v>
      </c>
      <c r="AB98" s="87">
        <f t="shared" si="90"/>
        <v>78.5</v>
      </c>
      <c r="AC98" s="36">
        <f>RCF!C$35</f>
        <v>26.19</v>
      </c>
      <c r="AD98" s="87">
        <f t="shared" si="91"/>
        <v>57.2</v>
      </c>
      <c r="AE98" s="81">
        <f>RCF!C$41</f>
        <v>19.068114999999999</v>
      </c>
    </row>
    <row r="99" spans="1:31" ht="41.4" x14ac:dyDescent="0.3">
      <c r="A99" s="236">
        <v>2614</v>
      </c>
      <c r="B99" s="145" t="s">
        <v>172</v>
      </c>
      <c r="C99" s="146">
        <v>225.6</v>
      </c>
      <c r="D99" s="87"/>
      <c r="E99" s="36"/>
      <c r="F99" s="87">
        <f t="shared" si="83"/>
        <v>4187.1000000000004</v>
      </c>
      <c r="G99" s="81">
        <f>RCF!C$5</f>
        <v>18.559999999999999</v>
      </c>
      <c r="H99" s="87">
        <f t="shared" si="84"/>
        <v>4396.1000000000004</v>
      </c>
      <c r="I99" s="36">
        <f>RCF!C$37</f>
        <v>19.486666666666668</v>
      </c>
      <c r="J99" s="253">
        <f t="shared" si="85"/>
        <v>4354.8</v>
      </c>
      <c r="K99" s="36">
        <f>RCF!C$7</f>
        <v>19.303333333333335</v>
      </c>
      <c r="L99" s="87">
        <f t="shared" si="92"/>
        <v>4156.2</v>
      </c>
      <c r="M99" s="36">
        <f>RCF!C$9</f>
        <v>18.422999999999998</v>
      </c>
      <c r="N99" s="87">
        <f t="shared" si="93"/>
        <v>4223.7</v>
      </c>
      <c r="O99" s="36">
        <f>RCF!C$11</f>
        <v>18.722000000000001</v>
      </c>
      <c r="P99" s="87">
        <f t="shared" si="53"/>
        <v>4472.8</v>
      </c>
      <c r="Q99" s="36">
        <f>RCF!C$64</f>
        <v>19.826666666666664</v>
      </c>
      <c r="R99" s="147">
        <f t="shared" si="86"/>
        <v>4316.3999999999996</v>
      </c>
      <c r="S99" s="36">
        <f>RCF!C$13</f>
        <v>19.133333333333333</v>
      </c>
      <c r="T99" s="87">
        <f t="shared" si="94"/>
        <v>3963.8</v>
      </c>
      <c r="U99" s="36">
        <f>RCF!C$22</f>
        <v>17.57</v>
      </c>
      <c r="V99" s="87">
        <f t="shared" si="87"/>
        <v>4430</v>
      </c>
      <c r="W99" s="36">
        <f>RCF!C$26</f>
        <v>19.636666666666667</v>
      </c>
      <c r="X99" s="87">
        <f t="shared" si="88"/>
        <v>4539.3</v>
      </c>
      <c r="Y99" s="36">
        <f>RCF!C$33</f>
        <v>20.121274</v>
      </c>
      <c r="Z99" s="87">
        <f t="shared" si="89"/>
        <v>4274.3</v>
      </c>
      <c r="AA99" s="36">
        <f>RCF!C$39</f>
        <v>18.946666666666665</v>
      </c>
      <c r="AB99" s="87">
        <f t="shared" si="90"/>
        <v>5908.4</v>
      </c>
      <c r="AC99" s="36">
        <f>RCF!C$35</f>
        <v>26.19</v>
      </c>
      <c r="AD99" s="87">
        <f t="shared" si="91"/>
        <v>4301.8</v>
      </c>
      <c r="AE99" s="81">
        <f>RCF!C$41</f>
        <v>19.068114999999999</v>
      </c>
    </row>
    <row r="100" spans="1:31" ht="41.4" x14ac:dyDescent="0.3">
      <c r="A100" s="245">
        <v>2614</v>
      </c>
      <c r="B100" s="179" t="s">
        <v>173</v>
      </c>
      <c r="C100" s="180">
        <v>369.9</v>
      </c>
      <c r="D100" s="181">
        <f>ROUND(E100*C100,1)</f>
        <v>19280.099999999999</v>
      </c>
      <c r="E100" s="182">
        <f>RCF!K47</f>
        <v>52.122364862428562</v>
      </c>
      <c r="F100" s="181">
        <f t="shared" si="83"/>
        <v>0</v>
      </c>
      <c r="G100" s="182">
        <v>0</v>
      </c>
      <c r="H100" s="87">
        <f t="shared" si="84"/>
        <v>0</v>
      </c>
      <c r="I100" s="182"/>
      <c r="J100" s="253">
        <f t="shared" si="85"/>
        <v>0</v>
      </c>
      <c r="K100" s="182"/>
      <c r="L100" s="181"/>
      <c r="M100" s="182"/>
      <c r="N100" s="87">
        <f t="shared" si="93"/>
        <v>0</v>
      </c>
      <c r="O100" s="182"/>
      <c r="P100" s="87">
        <f t="shared" si="53"/>
        <v>0</v>
      </c>
      <c r="Q100" s="182"/>
      <c r="R100" s="207">
        <f t="shared" si="86"/>
        <v>0</v>
      </c>
      <c r="S100" s="182"/>
      <c r="T100" s="181"/>
      <c r="U100" s="182"/>
      <c r="V100" s="181"/>
      <c r="W100" s="182"/>
      <c r="X100" s="87">
        <f t="shared" si="88"/>
        <v>0</v>
      </c>
      <c r="Y100" s="182"/>
      <c r="Z100" s="87">
        <f t="shared" si="89"/>
        <v>0</v>
      </c>
      <c r="AA100" s="36"/>
      <c r="AB100" s="207">
        <v>4236.6000000000004</v>
      </c>
      <c r="AC100" s="182"/>
      <c r="AD100" s="181"/>
      <c r="AE100" s="81">
        <f>RCF!C$41</f>
        <v>19.068114999999999</v>
      </c>
    </row>
    <row r="101" spans="1:31" ht="41.4" x14ac:dyDescent="0.3">
      <c r="A101" s="236">
        <v>2615</v>
      </c>
      <c r="B101" s="145" t="s">
        <v>174</v>
      </c>
      <c r="C101" s="146">
        <v>213.6</v>
      </c>
      <c r="D101" s="87"/>
      <c r="E101" s="81"/>
      <c r="F101" s="87">
        <f t="shared" si="83"/>
        <v>3964.4</v>
      </c>
      <c r="G101" s="81">
        <f>RCF!C$5</f>
        <v>18.559999999999999</v>
      </c>
      <c r="H101" s="87">
        <f t="shared" si="84"/>
        <v>4162.3</v>
      </c>
      <c r="I101" s="36">
        <f>RCF!C$37</f>
        <v>19.486666666666668</v>
      </c>
      <c r="J101" s="253">
        <f t="shared" si="85"/>
        <v>4123.1000000000004</v>
      </c>
      <c r="K101" s="36">
        <f>RCF!C$7</f>
        <v>19.303333333333335</v>
      </c>
      <c r="L101" s="87">
        <f>ROUND(M101*$C101,1)</f>
        <v>3935.2</v>
      </c>
      <c r="M101" s="36">
        <f>RCF!C$9</f>
        <v>18.422999999999998</v>
      </c>
      <c r="N101" s="87">
        <f t="shared" si="93"/>
        <v>3999</v>
      </c>
      <c r="O101" s="36">
        <f>RCF!C$11</f>
        <v>18.722000000000001</v>
      </c>
      <c r="P101" s="87">
        <f t="shared" si="53"/>
        <v>4234.8999999999996</v>
      </c>
      <c r="Q101" s="36">
        <f>RCF!C$64</f>
        <v>19.826666666666664</v>
      </c>
      <c r="R101" s="147">
        <f t="shared" si="86"/>
        <v>4086.8</v>
      </c>
      <c r="S101" s="36">
        <f>RCF!C$13</f>
        <v>19.133333333333333</v>
      </c>
      <c r="T101" s="87">
        <f>ROUND(U101*C101,1)</f>
        <v>3753</v>
      </c>
      <c r="U101" s="36">
        <f>RCF!C$22</f>
        <v>17.57</v>
      </c>
      <c r="V101" s="87">
        <f>ROUND(W101*C101,1)</f>
        <v>4194.3999999999996</v>
      </c>
      <c r="W101" s="36">
        <f>RCF!C$26</f>
        <v>19.636666666666667</v>
      </c>
      <c r="X101" s="87">
        <f t="shared" si="88"/>
        <v>4297.8999999999996</v>
      </c>
      <c r="Y101" s="36">
        <f>RCF!C$33</f>
        <v>20.121274</v>
      </c>
      <c r="Z101" s="87">
        <f t="shared" si="89"/>
        <v>4047</v>
      </c>
      <c r="AA101" s="36">
        <f>RCF!C$39</f>
        <v>18.946666666666665</v>
      </c>
      <c r="AB101" s="207">
        <f>ROUNDDOWN(C101*AC101,1)</f>
        <v>5594.1</v>
      </c>
      <c r="AC101" s="36">
        <f>RCF!C$35</f>
        <v>26.19</v>
      </c>
      <c r="AD101" s="87">
        <f>ROUND(AE101*C101,1)</f>
        <v>4072.9</v>
      </c>
      <c r="AE101" s="81">
        <f>RCF!C$41</f>
        <v>19.068114999999999</v>
      </c>
    </row>
    <row r="102" spans="1:31" ht="41.4" x14ac:dyDescent="0.3">
      <c r="A102" s="245">
        <v>2615</v>
      </c>
      <c r="B102" s="179" t="s">
        <v>175</v>
      </c>
      <c r="C102" s="180">
        <v>359.6</v>
      </c>
      <c r="D102" s="181">
        <f t="shared" ref="D102:D139" si="264">ROUND(E102*C102,1)</f>
        <v>18658.7</v>
      </c>
      <c r="E102" s="182">
        <f>RCF!L47</f>
        <v>51.88749517031458</v>
      </c>
      <c r="F102" s="181">
        <f t="shared" si="83"/>
        <v>0</v>
      </c>
      <c r="G102" s="182">
        <v>0</v>
      </c>
      <c r="H102" s="87">
        <f t="shared" si="84"/>
        <v>0</v>
      </c>
      <c r="I102" s="182"/>
      <c r="J102" s="253">
        <f t="shared" si="85"/>
        <v>0</v>
      </c>
      <c r="K102" s="182"/>
      <c r="L102" s="181"/>
      <c r="M102" s="182"/>
      <c r="N102" s="87">
        <f t="shared" si="93"/>
        <v>0</v>
      </c>
      <c r="O102" s="182"/>
      <c r="P102" s="87">
        <f t="shared" si="53"/>
        <v>0</v>
      </c>
      <c r="Q102" s="182"/>
      <c r="R102" s="207">
        <f t="shared" si="86"/>
        <v>0</v>
      </c>
      <c r="S102" s="182"/>
      <c r="T102" s="181"/>
      <c r="U102" s="182"/>
      <c r="V102" s="181"/>
      <c r="W102" s="182"/>
      <c r="X102" s="87">
        <f t="shared" si="88"/>
        <v>0</v>
      </c>
      <c r="Y102" s="182"/>
      <c r="Z102" s="87"/>
      <c r="AA102" s="36">
        <f>RCF!C$39</f>
        <v>18.946666666666665</v>
      </c>
      <c r="AB102" s="207">
        <v>4011.1</v>
      </c>
      <c r="AC102" s="182"/>
      <c r="AD102" s="181"/>
      <c r="AE102" s="81">
        <f>RCF!C$41</f>
        <v>19.068114999999999</v>
      </c>
    </row>
    <row r="103" spans="1:31" x14ac:dyDescent="0.3">
      <c r="A103" s="236">
        <v>3204</v>
      </c>
      <c r="B103" s="145" t="s">
        <v>68</v>
      </c>
      <c r="C103" s="146">
        <v>21.58</v>
      </c>
      <c r="D103" s="87">
        <f t="shared" ref="D103" si="265">ROUND(E103*C103,1)</f>
        <v>1275.8</v>
      </c>
      <c r="E103" s="81">
        <f>RCF!$C$47</f>
        <v>59.121481687424989</v>
      </c>
      <c r="F103" s="87">
        <f t="shared" ref="F103" si="266">ROUND(G103*$C103,1)</f>
        <v>400.5</v>
      </c>
      <c r="G103" s="81">
        <f>RCF!C$5</f>
        <v>18.559999999999999</v>
      </c>
      <c r="H103" s="87">
        <f t="shared" ref="H103" si="267">ROUNDDOWN(I103*C103,1)</f>
        <v>420.5</v>
      </c>
      <c r="I103" s="36">
        <f>RCF!C$37</f>
        <v>19.486666666666668</v>
      </c>
      <c r="J103" s="253">
        <f t="shared" ref="J103" si="268">ROUNDDOWN(C103*K103,1)</f>
        <v>416.5</v>
      </c>
      <c r="K103" s="36">
        <f>RCF!C$7</f>
        <v>19.303333333333335</v>
      </c>
      <c r="L103" s="87">
        <f t="shared" ref="L103" si="269">ROUND(M103*$C103,1)</f>
        <v>397.6</v>
      </c>
      <c r="M103" s="36">
        <f>RCF!C$9</f>
        <v>18.422999999999998</v>
      </c>
      <c r="N103" s="87">
        <f t="shared" ref="N103" si="270">ROUND(O103*$C103,1)</f>
        <v>404</v>
      </c>
      <c r="O103" s="36">
        <f>RCF!C$11</f>
        <v>18.722000000000001</v>
      </c>
      <c r="P103" s="87">
        <f t="shared" ref="P103" si="271">ROUNDDOWN(Q103*C103,1)</f>
        <v>427.8</v>
      </c>
      <c r="Q103" s="36">
        <f>RCF!C$64</f>
        <v>19.826666666666664</v>
      </c>
      <c r="R103" s="147">
        <f t="shared" ref="R103" si="272">ROUNDDOWN(C103*S103,1)</f>
        <v>412.8</v>
      </c>
      <c r="S103" s="36">
        <f>RCF!C$13</f>
        <v>19.133333333333333</v>
      </c>
      <c r="T103" s="87">
        <f t="shared" ref="T103" si="273">ROUND(U103*C103,1)</f>
        <v>379.2</v>
      </c>
      <c r="U103" s="36">
        <f>RCF!C$22</f>
        <v>17.57</v>
      </c>
      <c r="V103" s="87">
        <f t="shared" ref="V103" si="274">ROUND(W103*C103,1)</f>
        <v>423.8</v>
      </c>
      <c r="W103" s="36">
        <f>RCF!C$26</f>
        <v>19.636666666666667</v>
      </c>
      <c r="X103" s="87">
        <f t="shared" ref="X103" si="275">ROUNDDOWN(Y103*C103,1)</f>
        <v>434.2</v>
      </c>
      <c r="Y103" s="36">
        <f>RCF!C$33</f>
        <v>20.121274</v>
      </c>
      <c r="Z103" s="87">
        <f t="shared" ref="Z103" si="276">ROUNDDOWN(AA103*C103,1)</f>
        <v>408.8</v>
      </c>
      <c r="AA103" s="36">
        <f>RCF!C$39</f>
        <v>18.946666666666665</v>
      </c>
      <c r="AB103" s="87">
        <f t="shared" ref="AB103" si="277">ROUNDDOWN(C103*AC103,1)</f>
        <v>565.1</v>
      </c>
      <c r="AC103" s="36">
        <f>RCF!C$35</f>
        <v>26.19</v>
      </c>
      <c r="AD103" s="87">
        <f t="shared" ref="AD103" si="278">ROUND(AE103*C103,1)</f>
        <v>411.5</v>
      </c>
      <c r="AE103" s="81">
        <f>RCF!C$41</f>
        <v>19.068114999999999</v>
      </c>
    </row>
    <row r="104" spans="1:31" x14ac:dyDescent="0.3">
      <c r="A104" s="236">
        <v>2799</v>
      </c>
      <c r="B104" s="145" t="s">
        <v>217</v>
      </c>
      <c r="C104" s="146">
        <v>36</v>
      </c>
      <c r="D104" s="87">
        <f t="shared" ref="D104" si="279">ROUND(E104*C104,1)</f>
        <v>2128.4</v>
      </c>
      <c r="E104" s="81">
        <f>RCF!$C$47</f>
        <v>59.121481687424989</v>
      </c>
      <c r="F104" s="87">
        <f t="shared" ref="F104" si="280">ROUND(G104*$C104,1)</f>
        <v>668.2</v>
      </c>
      <c r="G104" s="81">
        <f>RCF!C$5</f>
        <v>18.559999999999999</v>
      </c>
      <c r="H104" s="87">
        <f t="shared" ref="H104" si="281">ROUNDDOWN(I104*C104,1)</f>
        <v>701.5</v>
      </c>
      <c r="I104" s="36">
        <f>RCF!C$37</f>
        <v>19.486666666666668</v>
      </c>
      <c r="J104" s="253">
        <f t="shared" ref="J104" si="282">ROUNDDOWN(C104*K104,1)</f>
        <v>694.9</v>
      </c>
      <c r="K104" s="36">
        <f>RCF!C$7</f>
        <v>19.303333333333335</v>
      </c>
      <c r="L104" s="87">
        <f t="shared" ref="L104" si="283">ROUND(M104*$C104,1)</f>
        <v>663.2</v>
      </c>
      <c r="M104" s="36">
        <f>RCF!C$9</f>
        <v>18.422999999999998</v>
      </c>
      <c r="N104" s="87">
        <f t="shared" ref="N104" si="284">ROUND(O104*$C104,1)</f>
        <v>674</v>
      </c>
      <c r="O104" s="36">
        <f>RCF!C$11</f>
        <v>18.722000000000001</v>
      </c>
      <c r="P104" s="87">
        <f t="shared" ref="P104" si="285">ROUNDDOWN(Q104*C104,1)</f>
        <v>713.7</v>
      </c>
      <c r="Q104" s="36">
        <f>RCF!C$64</f>
        <v>19.826666666666664</v>
      </c>
      <c r="R104" s="147">
        <f t="shared" ref="R104" si="286">ROUNDDOWN(C104*S104,1)</f>
        <v>688.8</v>
      </c>
      <c r="S104" s="36">
        <f>RCF!C$13</f>
        <v>19.133333333333333</v>
      </c>
      <c r="T104" s="87">
        <f t="shared" ref="T104" si="287">ROUND(U104*C104,1)</f>
        <v>632.5</v>
      </c>
      <c r="U104" s="36">
        <f>RCF!C$22</f>
        <v>17.57</v>
      </c>
      <c r="V104" s="87">
        <f t="shared" ref="V104" si="288">ROUND(W104*C104,1)</f>
        <v>706.9</v>
      </c>
      <c r="W104" s="36">
        <f>RCF!C$26</f>
        <v>19.636666666666667</v>
      </c>
      <c r="X104" s="87">
        <f t="shared" ref="X104" si="289">ROUNDDOWN(Y104*C104,1)</f>
        <v>724.3</v>
      </c>
      <c r="Y104" s="36">
        <f>RCF!C$33</f>
        <v>20.121274</v>
      </c>
      <c r="Z104" s="87">
        <f t="shared" ref="Z104" si="290">ROUNDDOWN(AA104*C104,1)</f>
        <v>682</v>
      </c>
      <c r="AA104" s="36">
        <f>RCF!C$39</f>
        <v>18.946666666666665</v>
      </c>
      <c r="AB104" s="87">
        <f t="shared" ref="AB104" si="291">ROUNDDOWN(C104*AC104,1)</f>
        <v>942.8</v>
      </c>
      <c r="AC104" s="36">
        <f>RCF!C$35</f>
        <v>26.19</v>
      </c>
      <c r="AD104" s="87">
        <f t="shared" ref="AD104" si="292">ROUND(AE104*C104,1)</f>
        <v>686.5</v>
      </c>
      <c r="AE104" s="81">
        <f>RCF!C$41</f>
        <v>19.068114999999999</v>
      </c>
    </row>
    <row r="105" spans="1:31" x14ac:dyDescent="0.3">
      <c r="A105" s="236">
        <v>2800</v>
      </c>
      <c r="B105" s="145" t="s">
        <v>218</v>
      </c>
      <c r="C105" s="146">
        <v>36</v>
      </c>
      <c r="D105" s="87">
        <f t="shared" ref="D105" si="293">ROUND(E105*C105,1)</f>
        <v>2128.4</v>
      </c>
      <c r="E105" s="81">
        <f>RCF!$C$47</f>
        <v>59.121481687424989</v>
      </c>
      <c r="F105" s="87">
        <f t="shared" ref="F105" si="294">ROUND(G105*$C105,1)</f>
        <v>668.2</v>
      </c>
      <c r="G105" s="81">
        <f>RCF!C$5</f>
        <v>18.559999999999999</v>
      </c>
      <c r="H105" s="87">
        <f t="shared" ref="H105" si="295">ROUNDDOWN(I105*C105,1)</f>
        <v>701.5</v>
      </c>
      <c r="I105" s="36">
        <f>RCF!C$37</f>
        <v>19.486666666666668</v>
      </c>
      <c r="J105" s="253">
        <f t="shared" ref="J105" si="296">ROUNDDOWN(C105*K105,1)</f>
        <v>694.9</v>
      </c>
      <c r="K105" s="36">
        <f>RCF!C$7</f>
        <v>19.303333333333335</v>
      </c>
      <c r="L105" s="87">
        <f t="shared" ref="L105" si="297">ROUND(M105*$C105,1)</f>
        <v>663.2</v>
      </c>
      <c r="M105" s="36">
        <f>RCF!C$9</f>
        <v>18.422999999999998</v>
      </c>
      <c r="N105" s="87">
        <f t="shared" ref="N105" si="298">ROUND(O105*$C105,1)</f>
        <v>674</v>
      </c>
      <c r="O105" s="36">
        <f>RCF!C$11</f>
        <v>18.722000000000001</v>
      </c>
      <c r="P105" s="87">
        <f t="shared" ref="P105" si="299">ROUNDDOWN(Q105*C105,1)</f>
        <v>713.7</v>
      </c>
      <c r="Q105" s="36">
        <f>RCF!C$64</f>
        <v>19.826666666666664</v>
      </c>
      <c r="R105" s="147">
        <f t="shared" ref="R105" si="300">ROUNDDOWN(C105*S105,1)</f>
        <v>688.8</v>
      </c>
      <c r="S105" s="36">
        <f>RCF!C$13</f>
        <v>19.133333333333333</v>
      </c>
      <c r="T105" s="87">
        <f t="shared" ref="T105" si="301">ROUND(U105*C105,1)</f>
        <v>632.5</v>
      </c>
      <c r="U105" s="36">
        <f>RCF!C$22</f>
        <v>17.57</v>
      </c>
      <c r="V105" s="87">
        <f t="shared" ref="V105" si="302">ROUND(W105*C105,1)</f>
        <v>706.9</v>
      </c>
      <c r="W105" s="36">
        <f>RCF!C$26</f>
        <v>19.636666666666667</v>
      </c>
      <c r="X105" s="87">
        <f t="shared" ref="X105" si="303">ROUNDDOWN(Y105*C105,1)</f>
        <v>724.3</v>
      </c>
      <c r="Y105" s="36">
        <f>RCF!C$33</f>
        <v>20.121274</v>
      </c>
      <c r="Z105" s="87">
        <f t="shared" ref="Z105" si="304">ROUNDDOWN(AA105*C105,1)</f>
        <v>682</v>
      </c>
      <c r="AA105" s="36">
        <f>RCF!C$39</f>
        <v>18.946666666666665</v>
      </c>
      <c r="AB105" s="87">
        <f t="shared" ref="AB105" si="305">ROUNDDOWN(C105*AC105,1)</f>
        <v>942.8</v>
      </c>
      <c r="AC105" s="36">
        <f>RCF!C$35</f>
        <v>26.19</v>
      </c>
      <c r="AD105" s="87">
        <f t="shared" ref="AD105" si="306">ROUND(AE105*C105,1)</f>
        <v>686.5</v>
      </c>
      <c r="AE105" s="81">
        <f>RCF!C$41</f>
        <v>19.068114999999999</v>
      </c>
    </row>
    <row r="106" spans="1:31" ht="27.6" x14ac:dyDescent="0.3">
      <c r="A106" s="236">
        <v>2801</v>
      </c>
      <c r="B106" s="145" t="s">
        <v>219</v>
      </c>
      <c r="C106" s="146">
        <v>36</v>
      </c>
      <c r="D106" s="87">
        <f t="shared" si="264"/>
        <v>2128.4</v>
      </c>
      <c r="E106" s="81">
        <f>RCF!$C$47</f>
        <v>59.121481687424989</v>
      </c>
      <c r="F106" s="87">
        <f t="shared" si="83"/>
        <v>668.2</v>
      </c>
      <c r="G106" s="81">
        <f>RCF!C$5</f>
        <v>18.559999999999999</v>
      </c>
      <c r="H106" s="87">
        <f t="shared" si="84"/>
        <v>701.5</v>
      </c>
      <c r="I106" s="36">
        <f>RCF!C$37</f>
        <v>19.486666666666668</v>
      </c>
      <c r="J106" s="253">
        <f t="shared" si="85"/>
        <v>694.9</v>
      </c>
      <c r="K106" s="36">
        <f>RCF!C$7</f>
        <v>19.303333333333335</v>
      </c>
      <c r="L106" s="87">
        <f t="shared" ref="L106:L139" si="307">ROUND(M106*$C106,1)</f>
        <v>663.2</v>
      </c>
      <c r="M106" s="36">
        <f>RCF!C$9</f>
        <v>18.422999999999998</v>
      </c>
      <c r="N106" s="87">
        <f t="shared" si="93"/>
        <v>674</v>
      </c>
      <c r="O106" s="36">
        <f>RCF!C$11</f>
        <v>18.722000000000001</v>
      </c>
      <c r="P106" s="87">
        <f t="shared" si="53"/>
        <v>713.7</v>
      </c>
      <c r="Q106" s="36">
        <f>RCF!C$64</f>
        <v>19.826666666666664</v>
      </c>
      <c r="R106" s="147">
        <f t="shared" si="86"/>
        <v>688.8</v>
      </c>
      <c r="S106" s="36">
        <f>RCF!C$13</f>
        <v>19.133333333333333</v>
      </c>
      <c r="T106" s="87">
        <f t="shared" ref="T106:T139" si="308">ROUND(U106*C106,1)</f>
        <v>632.5</v>
      </c>
      <c r="U106" s="36">
        <f>RCF!C$22</f>
        <v>17.57</v>
      </c>
      <c r="V106" s="87">
        <f t="shared" ref="V106:V139" si="309">ROUND(W106*C106,1)</f>
        <v>706.9</v>
      </c>
      <c r="W106" s="36">
        <f>RCF!C$26</f>
        <v>19.636666666666667</v>
      </c>
      <c r="X106" s="87">
        <f t="shared" si="88"/>
        <v>724.3</v>
      </c>
      <c r="Y106" s="36">
        <f>RCF!C$33</f>
        <v>20.121274</v>
      </c>
      <c r="Z106" s="87">
        <f t="shared" ref="Z106:Z139" si="310">ROUNDDOWN(AA106*C106,1)</f>
        <v>682</v>
      </c>
      <c r="AA106" s="36">
        <f>RCF!C$39</f>
        <v>18.946666666666665</v>
      </c>
      <c r="AB106" s="87">
        <f t="shared" ref="AB106:AB139" si="311">ROUNDDOWN(C106*AC106,1)</f>
        <v>942.8</v>
      </c>
      <c r="AC106" s="36">
        <f>RCF!C$35</f>
        <v>26.19</v>
      </c>
      <c r="AD106" s="87">
        <f t="shared" ref="AD106:AD139" si="312">ROUND(AE106*C106,1)</f>
        <v>686.5</v>
      </c>
      <c r="AE106" s="81">
        <f>RCF!C$41</f>
        <v>19.068114999999999</v>
      </c>
    </row>
    <row r="107" spans="1:31" s="89" customFormat="1" x14ac:dyDescent="0.3">
      <c r="A107" s="244">
        <v>3445</v>
      </c>
      <c r="B107" s="145" t="s">
        <v>28</v>
      </c>
      <c r="C107" s="146">
        <v>9.4</v>
      </c>
      <c r="D107" s="178">
        <f t="shared" si="264"/>
        <v>179.2</v>
      </c>
      <c r="E107" s="177">
        <f t="shared" ref="E107:E129" si="313">AE107</f>
        <v>19.068114999999999</v>
      </c>
      <c r="F107" s="87">
        <f t="shared" si="83"/>
        <v>253.2</v>
      </c>
      <c r="G107" s="36">
        <f>RCF!D5</f>
        <v>26.933</v>
      </c>
      <c r="H107" s="87">
        <f t="shared" si="84"/>
        <v>259.5</v>
      </c>
      <c r="I107" s="36">
        <f>RCF!D37</f>
        <v>27.611688311688312</v>
      </c>
      <c r="J107" s="253">
        <f t="shared" si="85"/>
        <v>257</v>
      </c>
      <c r="K107" s="36">
        <f>RCF!D$7</f>
        <v>27.345454545454544</v>
      </c>
      <c r="L107" s="87">
        <f t="shared" si="307"/>
        <v>245.3</v>
      </c>
      <c r="M107" s="81">
        <f>RCF!D9</f>
        <v>26.100999999999999</v>
      </c>
      <c r="N107" s="87">
        <f t="shared" si="93"/>
        <v>245.3</v>
      </c>
      <c r="O107" s="81">
        <f>RCF!D11</f>
        <v>26.100999999999999</v>
      </c>
      <c r="P107" s="87">
        <f t="shared" si="53"/>
        <v>269.7</v>
      </c>
      <c r="Q107" s="36">
        <f>RCF!D$64</f>
        <v>28.700000000000003</v>
      </c>
      <c r="R107" s="147">
        <f t="shared" si="86"/>
        <v>254.8</v>
      </c>
      <c r="S107" s="36">
        <f>RCF!D$13</f>
        <v>27.106493506493504</v>
      </c>
      <c r="T107" s="87">
        <f t="shared" si="308"/>
        <v>234</v>
      </c>
      <c r="U107" s="36">
        <f>RCF!D22</f>
        <v>24.897402597402596</v>
      </c>
      <c r="V107" s="87">
        <f t="shared" si="309"/>
        <v>261.5</v>
      </c>
      <c r="W107" s="36">
        <f>RCF!D26</f>
        <v>27.816883116883119</v>
      </c>
      <c r="X107" s="87">
        <f t="shared" si="88"/>
        <v>189.1</v>
      </c>
      <c r="Y107" s="36">
        <f>RCF!C$33</f>
        <v>20.121274</v>
      </c>
      <c r="Z107" s="87">
        <f t="shared" si="310"/>
        <v>178</v>
      </c>
      <c r="AA107" s="36">
        <f>RCF!C$39</f>
        <v>18.946666666666665</v>
      </c>
      <c r="AB107" s="87">
        <f t="shared" si="311"/>
        <v>246.1</v>
      </c>
      <c r="AC107" s="36">
        <f>RCF!C$35</f>
        <v>26.19</v>
      </c>
      <c r="AD107" s="87">
        <f t="shared" si="312"/>
        <v>179.2</v>
      </c>
      <c r="AE107" s="81">
        <f>RCF!C$41</f>
        <v>19.068114999999999</v>
      </c>
    </row>
    <row r="108" spans="1:31" ht="27.6" x14ac:dyDescent="0.3">
      <c r="A108" s="244">
        <v>3615</v>
      </c>
      <c r="B108" s="145" t="s">
        <v>69</v>
      </c>
      <c r="C108" s="146">
        <v>50</v>
      </c>
      <c r="D108" s="178">
        <f t="shared" si="264"/>
        <v>926.4</v>
      </c>
      <c r="E108" s="177">
        <f t="shared" si="313"/>
        <v>18.527850000000001</v>
      </c>
      <c r="F108" s="87">
        <f t="shared" si="83"/>
        <v>906</v>
      </c>
      <c r="G108" s="36">
        <f>RCF!F$5</f>
        <v>18.12</v>
      </c>
      <c r="H108" s="87">
        <f t="shared" si="84"/>
        <v>929</v>
      </c>
      <c r="I108" s="36">
        <f>RCF!F$37</f>
        <v>18.579999999999998</v>
      </c>
      <c r="J108" s="253">
        <f t="shared" si="85"/>
        <v>920.1</v>
      </c>
      <c r="K108" s="36">
        <f>RCF!F$7</f>
        <v>18.402000000000001</v>
      </c>
      <c r="L108" s="87">
        <f t="shared" si="307"/>
        <v>878.2</v>
      </c>
      <c r="M108" s="81">
        <f>RCF!F$9</f>
        <v>17.562999999999999</v>
      </c>
      <c r="N108" s="87">
        <f t="shared" si="93"/>
        <v>67</v>
      </c>
      <c r="O108" s="81">
        <f>RCF!F$11</f>
        <v>1.3409722222222222</v>
      </c>
      <c r="P108" s="87">
        <f t="shared" si="53"/>
        <v>944.8</v>
      </c>
      <c r="Q108" s="36">
        <f>RCF!F$64</f>
        <v>18.896000000000001</v>
      </c>
      <c r="R108" s="147">
        <f t="shared" si="86"/>
        <v>911.8</v>
      </c>
      <c r="S108" s="36">
        <f>RCF!F$13</f>
        <v>18.236000000000001</v>
      </c>
      <c r="T108" s="87">
        <f t="shared" si="308"/>
        <v>837.4</v>
      </c>
      <c r="U108" s="36">
        <f>RCF!F$22</f>
        <v>16.748000000000001</v>
      </c>
      <c r="V108" s="87">
        <f t="shared" si="309"/>
        <v>936.1</v>
      </c>
      <c r="W108" s="36">
        <f>RCF!F$26</f>
        <v>18.722000000000001</v>
      </c>
      <c r="X108" s="87">
        <f t="shared" si="88"/>
        <v>958.9</v>
      </c>
      <c r="Y108" s="36">
        <f>RCF!F$33</f>
        <v>19.179939999999998</v>
      </c>
      <c r="Z108" s="87">
        <f t="shared" si="310"/>
        <v>920.8</v>
      </c>
      <c r="AA108" s="36">
        <f>RCF!F$39</f>
        <v>18.416</v>
      </c>
      <c r="AB108" s="87">
        <f t="shared" si="311"/>
        <v>1247.8</v>
      </c>
      <c r="AC108" s="36">
        <f>RCF!F$35</f>
        <v>24.956</v>
      </c>
      <c r="AD108" s="87">
        <f t="shared" si="312"/>
        <v>926.4</v>
      </c>
      <c r="AE108" s="81">
        <f>RCF!F$41</f>
        <v>18.527850000000001</v>
      </c>
    </row>
    <row r="109" spans="1:31" s="89" customFormat="1" x14ac:dyDescent="0.3">
      <c r="A109" s="244">
        <v>3617</v>
      </c>
      <c r="B109" s="145" t="s">
        <v>70</v>
      </c>
      <c r="C109" s="146">
        <v>50</v>
      </c>
      <c r="D109" s="178">
        <f t="shared" si="264"/>
        <v>926.4</v>
      </c>
      <c r="E109" s="177">
        <f t="shared" si="313"/>
        <v>18.527850000000001</v>
      </c>
      <c r="F109" s="87">
        <f t="shared" si="83"/>
        <v>906</v>
      </c>
      <c r="G109" s="36">
        <f>RCF!F$5</f>
        <v>18.12</v>
      </c>
      <c r="H109" s="87">
        <f t="shared" si="84"/>
        <v>929</v>
      </c>
      <c r="I109" s="36">
        <f>RCF!F$37</f>
        <v>18.579999999999998</v>
      </c>
      <c r="J109" s="253">
        <f t="shared" si="85"/>
        <v>920.1</v>
      </c>
      <c r="K109" s="36">
        <f>RCF!F$7</f>
        <v>18.402000000000001</v>
      </c>
      <c r="L109" s="87">
        <f t="shared" si="307"/>
        <v>878.2</v>
      </c>
      <c r="M109" s="81">
        <f>RCF!F$9</f>
        <v>17.562999999999999</v>
      </c>
      <c r="N109" s="87">
        <f t="shared" si="93"/>
        <v>67</v>
      </c>
      <c r="O109" s="81">
        <f>RCF!F$11</f>
        <v>1.3409722222222222</v>
      </c>
      <c r="P109" s="87">
        <f t="shared" si="53"/>
        <v>944.8</v>
      </c>
      <c r="Q109" s="36">
        <f>RCF!F$64</f>
        <v>18.896000000000001</v>
      </c>
      <c r="R109" s="147">
        <f t="shared" si="86"/>
        <v>911.8</v>
      </c>
      <c r="S109" s="36">
        <f>RCF!F$13</f>
        <v>18.236000000000001</v>
      </c>
      <c r="T109" s="87">
        <f t="shared" si="308"/>
        <v>837.4</v>
      </c>
      <c r="U109" s="36">
        <f>RCF!F$22</f>
        <v>16.748000000000001</v>
      </c>
      <c r="V109" s="87">
        <f t="shared" si="309"/>
        <v>936.1</v>
      </c>
      <c r="W109" s="36">
        <f>RCF!F$26</f>
        <v>18.722000000000001</v>
      </c>
      <c r="X109" s="87">
        <f t="shared" si="88"/>
        <v>958.9</v>
      </c>
      <c r="Y109" s="36">
        <f>RCF!F$33</f>
        <v>19.179939999999998</v>
      </c>
      <c r="Z109" s="87">
        <f t="shared" si="310"/>
        <v>920.8</v>
      </c>
      <c r="AA109" s="36">
        <f>RCF!F$39</f>
        <v>18.416</v>
      </c>
      <c r="AB109" s="87">
        <f t="shared" si="311"/>
        <v>1247.8</v>
      </c>
      <c r="AC109" s="36">
        <f>RCF!F$35</f>
        <v>24.956</v>
      </c>
      <c r="AD109" s="87">
        <f t="shared" si="312"/>
        <v>926.4</v>
      </c>
      <c r="AE109" s="81">
        <f>RCF!F$41</f>
        <v>18.527850000000001</v>
      </c>
    </row>
    <row r="110" spans="1:31" ht="27.6" x14ac:dyDescent="0.3">
      <c r="A110" s="244">
        <v>3618</v>
      </c>
      <c r="B110" s="145" t="s">
        <v>176</v>
      </c>
      <c r="C110" s="146">
        <v>40</v>
      </c>
      <c r="D110" s="178">
        <f t="shared" si="264"/>
        <v>741.1</v>
      </c>
      <c r="E110" s="177">
        <f t="shared" si="313"/>
        <v>18.527850000000001</v>
      </c>
      <c r="F110" s="87">
        <f t="shared" si="83"/>
        <v>724.8</v>
      </c>
      <c r="G110" s="36">
        <f>RCF!F$5</f>
        <v>18.12</v>
      </c>
      <c r="H110" s="87">
        <f t="shared" si="84"/>
        <v>743.2</v>
      </c>
      <c r="I110" s="36">
        <f>RCF!F$37</f>
        <v>18.579999999999998</v>
      </c>
      <c r="J110" s="253">
        <f t="shared" si="85"/>
        <v>736</v>
      </c>
      <c r="K110" s="36">
        <f>RCF!F$7</f>
        <v>18.402000000000001</v>
      </c>
      <c r="L110" s="87">
        <f t="shared" si="307"/>
        <v>702.5</v>
      </c>
      <c r="M110" s="81">
        <f>RCF!F$9</f>
        <v>17.562999999999999</v>
      </c>
      <c r="N110" s="87">
        <f t="shared" si="93"/>
        <v>53.6</v>
      </c>
      <c r="O110" s="81">
        <f>RCF!F$11</f>
        <v>1.3409722222222222</v>
      </c>
      <c r="P110" s="87">
        <f t="shared" si="53"/>
        <v>755.8</v>
      </c>
      <c r="Q110" s="36">
        <f>RCF!F$64</f>
        <v>18.896000000000001</v>
      </c>
      <c r="R110" s="147">
        <f t="shared" si="86"/>
        <v>729.4</v>
      </c>
      <c r="S110" s="36">
        <f>RCF!F$13</f>
        <v>18.236000000000001</v>
      </c>
      <c r="T110" s="87">
        <f t="shared" si="308"/>
        <v>669.9</v>
      </c>
      <c r="U110" s="36">
        <f>RCF!F$22</f>
        <v>16.748000000000001</v>
      </c>
      <c r="V110" s="87">
        <f t="shared" si="309"/>
        <v>748.9</v>
      </c>
      <c r="W110" s="36">
        <f>RCF!F$26</f>
        <v>18.722000000000001</v>
      </c>
      <c r="X110" s="87">
        <f t="shared" si="88"/>
        <v>767.1</v>
      </c>
      <c r="Y110" s="36">
        <f>RCF!F$33</f>
        <v>19.179939999999998</v>
      </c>
      <c r="Z110" s="87">
        <f t="shared" si="310"/>
        <v>736.6</v>
      </c>
      <c r="AA110" s="36">
        <f>RCF!F$39</f>
        <v>18.416</v>
      </c>
      <c r="AB110" s="87">
        <f t="shared" si="311"/>
        <v>998.2</v>
      </c>
      <c r="AC110" s="36">
        <f>RCF!F$35</f>
        <v>24.956</v>
      </c>
      <c r="AD110" s="87">
        <f t="shared" si="312"/>
        <v>741.1</v>
      </c>
      <c r="AE110" s="81">
        <f>RCF!F$41</f>
        <v>18.527850000000001</v>
      </c>
    </row>
    <row r="111" spans="1:31" x14ac:dyDescent="0.3">
      <c r="A111" s="244">
        <v>3622</v>
      </c>
      <c r="B111" s="145" t="s">
        <v>220</v>
      </c>
      <c r="C111" s="146">
        <v>50</v>
      </c>
      <c r="D111" s="178">
        <f t="shared" ref="D111" si="314">ROUND(E111*C111,1)</f>
        <v>926.4</v>
      </c>
      <c r="E111" s="177">
        <f t="shared" ref="E111" si="315">AE111</f>
        <v>18.527850000000001</v>
      </c>
      <c r="F111" s="87">
        <f t="shared" ref="F111" si="316">ROUND(G111*$C111,1)</f>
        <v>906</v>
      </c>
      <c r="G111" s="36">
        <f>RCF!F$5</f>
        <v>18.12</v>
      </c>
      <c r="H111" s="87">
        <f t="shared" ref="H111" si="317">ROUNDDOWN(I111*C111,1)</f>
        <v>929</v>
      </c>
      <c r="I111" s="36">
        <f>RCF!F$37</f>
        <v>18.579999999999998</v>
      </c>
      <c r="J111" s="253">
        <f t="shared" ref="J111" si="318">ROUNDDOWN(C111*K111,1)</f>
        <v>920.1</v>
      </c>
      <c r="K111" s="36">
        <f>RCF!F$7</f>
        <v>18.402000000000001</v>
      </c>
      <c r="L111" s="87">
        <f t="shared" ref="L111" si="319">ROUND(M111*$C111,1)</f>
        <v>878.2</v>
      </c>
      <c r="M111" s="81">
        <f>RCF!F$9</f>
        <v>17.562999999999999</v>
      </c>
      <c r="N111" s="87">
        <f t="shared" ref="N111" si="320">ROUND(O111*$C111,1)</f>
        <v>67</v>
      </c>
      <c r="O111" s="81">
        <f>RCF!F$11</f>
        <v>1.3409722222222222</v>
      </c>
      <c r="P111" s="87">
        <f t="shared" ref="P111" si="321">ROUNDDOWN(Q111*C111,1)</f>
        <v>944.8</v>
      </c>
      <c r="Q111" s="36">
        <f>RCF!F$64</f>
        <v>18.896000000000001</v>
      </c>
      <c r="R111" s="147">
        <f t="shared" ref="R111" si="322">ROUNDDOWN(C111*S111,1)</f>
        <v>911.8</v>
      </c>
      <c r="S111" s="36">
        <f>RCF!F$13</f>
        <v>18.236000000000001</v>
      </c>
      <c r="T111" s="87">
        <f t="shared" ref="T111" si="323">ROUND(U111*C111,1)</f>
        <v>837.4</v>
      </c>
      <c r="U111" s="36">
        <f>RCF!F$22</f>
        <v>16.748000000000001</v>
      </c>
      <c r="V111" s="87">
        <f t="shared" ref="V111" si="324">ROUND(W111*C111,1)</f>
        <v>936.1</v>
      </c>
      <c r="W111" s="36">
        <f>RCF!F$26</f>
        <v>18.722000000000001</v>
      </c>
      <c r="X111" s="87">
        <f t="shared" ref="X111" si="325">ROUNDDOWN(Y111*C111,1)</f>
        <v>958.9</v>
      </c>
      <c r="Y111" s="36">
        <f>RCF!F$33</f>
        <v>19.179939999999998</v>
      </c>
      <c r="Z111" s="87">
        <f t="shared" ref="Z111" si="326">ROUNDDOWN(AA111*C111,1)</f>
        <v>920.8</v>
      </c>
      <c r="AA111" s="36">
        <f>RCF!F$39</f>
        <v>18.416</v>
      </c>
      <c r="AB111" s="87">
        <f t="shared" ref="AB111" si="327">ROUNDDOWN(C111*AC111,1)</f>
        <v>1247.8</v>
      </c>
      <c r="AC111" s="36">
        <f>RCF!F$35</f>
        <v>24.956</v>
      </c>
      <c r="AD111" s="87">
        <f t="shared" ref="AD111" si="328">ROUND(AE111*C111,1)</f>
        <v>926.4</v>
      </c>
      <c r="AE111" s="81">
        <f>RCF!F$41</f>
        <v>18.527850000000001</v>
      </c>
    </row>
    <row r="112" spans="1:31" x14ac:dyDescent="0.3">
      <c r="A112" s="244">
        <v>3625</v>
      </c>
      <c r="B112" s="145" t="s">
        <v>221</v>
      </c>
      <c r="C112" s="146">
        <v>50</v>
      </c>
      <c r="D112" s="178">
        <f t="shared" ref="D112" si="329">ROUND(E112*C112,1)</f>
        <v>926.4</v>
      </c>
      <c r="E112" s="177">
        <f t="shared" ref="E112" si="330">AE112</f>
        <v>18.527850000000001</v>
      </c>
      <c r="F112" s="87">
        <f t="shared" ref="F112" si="331">ROUND(G112*$C112,1)</f>
        <v>906</v>
      </c>
      <c r="G112" s="36">
        <f>RCF!F$5</f>
        <v>18.12</v>
      </c>
      <c r="H112" s="87">
        <f t="shared" ref="H112" si="332">ROUNDDOWN(I112*C112,1)</f>
        <v>929</v>
      </c>
      <c r="I112" s="36">
        <f>RCF!F$37</f>
        <v>18.579999999999998</v>
      </c>
      <c r="J112" s="253">
        <f t="shared" ref="J112" si="333">ROUNDDOWN(C112*K112,1)</f>
        <v>920.1</v>
      </c>
      <c r="K112" s="36">
        <f>RCF!F$7</f>
        <v>18.402000000000001</v>
      </c>
      <c r="L112" s="87">
        <f t="shared" ref="L112" si="334">ROUND(M112*$C112,1)</f>
        <v>878.2</v>
      </c>
      <c r="M112" s="81">
        <f>RCF!F$9</f>
        <v>17.562999999999999</v>
      </c>
      <c r="N112" s="87">
        <f t="shared" ref="N112" si="335">ROUND(O112*$C112,1)</f>
        <v>67</v>
      </c>
      <c r="O112" s="81">
        <f>RCF!F$11</f>
        <v>1.3409722222222222</v>
      </c>
      <c r="P112" s="87">
        <f t="shared" ref="P112" si="336">ROUNDDOWN(Q112*C112,1)</f>
        <v>944.8</v>
      </c>
      <c r="Q112" s="36">
        <f>RCF!F$64</f>
        <v>18.896000000000001</v>
      </c>
      <c r="R112" s="147">
        <f t="shared" ref="R112" si="337">ROUNDDOWN(C112*S112,1)</f>
        <v>911.8</v>
      </c>
      <c r="S112" s="36">
        <f>RCF!F$13</f>
        <v>18.236000000000001</v>
      </c>
      <c r="T112" s="87">
        <f t="shared" ref="T112" si="338">ROUND(U112*C112,1)</f>
        <v>837.4</v>
      </c>
      <c r="U112" s="36">
        <f>RCF!F$22</f>
        <v>16.748000000000001</v>
      </c>
      <c r="V112" s="87">
        <f t="shared" ref="V112" si="339">ROUND(W112*C112,1)</f>
        <v>936.1</v>
      </c>
      <c r="W112" s="36">
        <f>RCF!F$26</f>
        <v>18.722000000000001</v>
      </c>
      <c r="X112" s="87">
        <f t="shared" ref="X112" si="340">ROUNDDOWN(Y112*C112,1)</f>
        <v>958.9</v>
      </c>
      <c r="Y112" s="36">
        <f>RCF!F$33</f>
        <v>19.179939999999998</v>
      </c>
      <c r="Z112" s="87">
        <f t="shared" ref="Z112" si="341">ROUNDDOWN(AA112*C112,1)</f>
        <v>920.8</v>
      </c>
      <c r="AA112" s="36">
        <f>RCF!F$39</f>
        <v>18.416</v>
      </c>
      <c r="AB112" s="87">
        <f t="shared" ref="AB112" si="342">ROUNDDOWN(C112*AC112,1)</f>
        <v>1247.8</v>
      </c>
      <c r="AC112" s="36">
        <f>RCF!F$35</f>
        <v>24.956</v>
      </c>
      <c r="AD112" s="87">
        <f t="shared" ref="AD112" si="343">ROUND(AE112*C112,1)</f>
        <v>926.4</v>
      </c>
      <c r="AE112" s="81">
        <f>RCF!F$41</f>
        <v>18.527850000000001</v>
      </c>
    </row>
    <row r="113" spans="1:31" ht="41.4" x14ac:dyDescent="0.3">
      <c r="A113" s="244">
        <v>3627</v>
      </c>
      <c r="B113" s="145" t="s">
        <v>177</v>
      </c>
      <c r="C113" s="146">
        <v>60</v>
      </c>
      <c r="D113" s="176">
        <f t="shared" si="264"/>
        <v>1111.7</v>
      </c>
      <c r="E113" s="177">
        <f t="shared" si="313"/>
        <v>18.527850000000001</v>
      </c>
      <c r="F113" s="87">
        <f t="shared" si="83"/>
        <v>1087.2</v>
      </c>
      <c r="G113" s="36">
        <f>RCF!F$5</f>
        <v>18.12</v>
      </c>
      <c r="H113" s="87">
        <f t="shared" si="84"/>
        <v>1114.8</v>
      </c>
      <c r="I113" s="36">
        <f>RCF!F$37</f>
        <v>18.579999999999998</v>
      </c>
      <c r="J113" s="253">
        <f t="shared" si="85"/>
        <v>1104.0999999999999</v>
      </c>
      <c r="K113" s="36">
        <f>RCF!F$7</f>
        <v>18.402000000000001</v>
      </c>
      <c r="L113" s="87">
        <f t="shared" si="307"/>
        <v>1053.8</v>
      </c>
      <c r="M113" s="81">
        <f>RCF!F$9</f>
        <v>17.562999999999999</v>
      </c>
      <c r="N113" s="87">
        <f t="shared" si="93"/>
        <v>80.5</v>
      </c>
      <c r="O113" s="81">
        <f>RCF!F$11</f>
        <v>1.3409722222222222</v>
      </c>
      <c r="P113" s="87">
        <f t="shared" si="53"/>
        <v>1133.7</v>
      </c>
      <c r="Q113" s="36">
        <f>RCF!F$64</f>
        <v>18.896000000000001</v>
      </c>
      <c r="R113" s="147">
        <f t="shared" si="86"/>
        <v>1094.0999999999999</v>
      </c>
      <c r="S113" s="36">
        <f>RCF!F$13</f>
        <v>18.236000000000001</v>
      </c>
      <c r="T113" s="87">
        <f t="shared" si="308"/>
        <v>1004.9</v>
      </c>
      <c r="U113" s="36">
        <f>RCF!F$22</f>
        <v>16.748000000000001</v>
      </c>
      <c r="V113" s="87">
        <f t="shared" si="309"/>
        <v>1123.3</v>
      </c>
      <c r="W113" s="36">
        <f>RCF!F$26</f>
        <v>18.722000000000001</v>
      </c>
      <c r="X113" s="87">
        <f t="shared" si="88"/>
        <v>1150.7</v>
      </c>
      <c r="Y113" s="36">
        <f>RCF!F$33</f>
        <v>19.179939999999998</v>
      </c>
      <c r="Z113" s="87">
        <f t="shared" si="310"/>
        <v>1104.9000000000001</v>
      </c>
      <c r="AA113" s="36">
        <f>RCF!F$39</f>
        <v>18.416</v>
      </c>
      <c r="AB113" s="87">
        <f t="shared" si="311"/>
        <v>1497.3</v>
      </c>
      <c r="AC113" s="36">
        <f>RCF!F$35</f>
        <v>24.956</v>
      </c>
      <c r="AD113" s="87">
        <f t="shared" si="312"/>
        <v>1111.7</v>
      </c>
      <c r="AE113" s="81">
        <f>RCF!F$41</f>
        <v>18.527850000000001</v>
      </c>
    </row>
    <row r="114" spans="1:31" x14ac:dyDescent="0.3">
      <c r="A114" s="244">
        <v>3629</v>
      </c>
      <c r="B114" s="145" t="s">
        <v>222</v>
      </c>
      <c r="C114" s="146">
        <v>50</v>
      </c>
      <c r="D114" s="176">
        <f t="shared" ref="D114" si="344">ROUND(E114*C114,1)</f>
        <v>926.4</v>
      </c>
      <c r="E114" s="177">
        <f t="shared" ref="E114" si="345">AE114</f>
        <v>18.527850000000001</v>
      </c>
      <c r="F114" s="87">
        <f t="shared" ref="F114" si="346">ROUND(G114*$C114,1)</f>
        <v>906</v>
      </c>
      <c r="G114" s="36">
        <f>RCF!F$5</f>
        <v>18.12</v>
      </c>
      <c r="H114" s="87">
        <f t="shared" ref="H114" si="347">ROUNDDOWN(I114*C114,1)</f>
        <v>929</v>
      </c>
      <c r="I114" s="36">
        <f>RCF!F$37</f>
        <v>18.579999999999998</v>
      </c>
      <c r="J114" s="253">
        <f t="shared" ref="J114" si="348">ROUNDDOWN(C114*K114,1)</f>
        <v>920.1</v>
      </c>
      <c r="K114" s="36">
        <f>RCF!F$7</f>
        <v>18.402000000000001</v>
      </c>
      <c r="L114" s="87">
        <f t="shared" ref="L114" si="349">ROUND(M114*$C114,1)</f>
        <v>878.2</v>
      </c>
      <c r="M114" s="81">
        <f>RCF!F$9</f>
        <v>17.562999999999999</v>
      </c>
      <c r="N114" s="87">
        <f t="shared" ref="N114" si="350">ROUND(O114*$C114,1)</f>
        <v>67</v>
      </c>
      <c r="O114" s="81">
        <f>RCF!F$11</f>
        <v>1.3409722222222222</v>
      </c>
      <c r="P114" s="87">
        <f t="shared" ref="P114" si="351">ROUNDDOWN(Q114*C114,1)</f>
        <v>944.8</v>
      </c>
      <c r="Q114" s="36">
        <f>RCF!F$64</f>
        <v>18.896000000000001</v>
      </c>
      <c r="R114" s="147">
        <f t="shared" ref="R114" si="352">ROUNDDOWN(C114*S114,1)</f>
        <v>911.8</v>
      </c>
      <c r="S114" s="36">
        <f>RCF!F$13</f>
        <v>18.236000000000001</v>
      </c>
      <c r="T114" s="87">
        <f t="shared" ref="T114" si="353">ROUND(U114*C114,1)</f>
        <v>837.4</v>
      </c>
      <c r="U114" s="36">
        <f>RCF!F$22</f>
        <v>16.748000000000001</v>
      </c>
      <c r="V114" s="87">
        <f t="shared" ref="V114" si="354">ROUND(W114*C114,1)</f>
        <v>936.1</v>
      </c>
      <c r="W114" s="36">
        <f>RCF!F$26</f>
        <v>18.722000000000001</v>
      </c>
      <c r="X114" s="87">
        <f t="shared" ref="X114" si="355">ROUNDDOWN(Y114*C114,1)</f>
        <v>958.9</v>
      </c>
      <c r="Y114" s="36">
        <f>RCF!F$33</f>
        <v>19.179939999999998</v>
      </c>
      <c r="Z114" s="87">
        <f t="shared" ref="Z114" si="356">ROUNDDOWN(AA114*C114,1)</f>
        <v>920.8</v>
      </c>
      <c r="AA114" s="36">
        <f>RCF!F$39</f>
        <v>18.416</v>
      </c>
      <c r="AB114" s="87">
        <f t="shared" ref="AB114" si="357">ROUNDDOWN(C114*AC114,1)</f>
        <v>1247.8</v>
      </c>
      <c r="AC114" s="36">
        <f>RCF!F$35</f>
        <v>24.956</v>
      </c>
      <c r="AD114" s="87">
        <f t="shared" ref="AD114" si="358">ROUND(AE114*C114,1)</f>
        <v>926.4</v>
      </c>
      <c r="AE114" s="81">
        <f>RCF!F$41</f>
        <v>18.527850000000001</v>
      </c>
    </row>
    <row r="115" spans="1:31" ht="27.6" x14ac:dyDescent="0.3">
      <c r="A115" s="244">
        <v>3637</v>
      </c>
      <c r="B115" s="145" t="s">
        <v>223</v>
      </c>
      <c r="C115" s="146">
        <v>78</v>
      </c>
      <c r="D115" s="176">
        <f t="shared" ref="D115:D116" si="359">ROUND(E115*C115,1)</f>
        <v>1445.2</v>
      </c>
      <c r="E115" s="177">
        <f t="shared" ref="E115:E116" si="360">AE115</f>
        <v>18.527850000000001</v>
      </c>
      <c r="F115" s="87">
        <f t="shared" ref="F115:F116" si="361">ROUND(G115*$C115,1)</f>
        <v>1413.4</v>
      </c>
      <c r="G115" s="36">
        <f>RCF!F$5</f>
        <v>18.12</v>
      </c>
      <c r="H115" s="87">
        <f t="shared" ref="H115:H116" si="362">ROUNDDOWN(I115*C115,1)</f>
        <v>1449.2</v>
      </c>
      <c r="I115" s="36">
        <f>RCF!F$37</f>
        <v>18.579999999999998</v>
      </c>
      <c r="J115" s="253">
        <f t="shared" ref="J115:J116" si="363">ROUNDDOWN(C115*K115,1)</f>
        <v>1435.3</v>
      </c>
      <c r="K115" s="36">
        <f>RCF!F$7</f>
        <v>18.402000000000001</v>
      </c>
      <c r="L115" s="87">
        <f t="shared" ref="L115:L116" si="364">ROUND(M115*$C115,1)</f>
        <v>1369.9</v>
      </c>
      <c r="M115" s="81">
        <f>RCF!F$9</f>
        <v>17.562999999999999</v>
      </c>
      <c r="N115" s="87">
        <f t="shared" ref="N115:N116" si="365">ROUND(O115*$C115,1)</f>
        <v>104.6</v>
      </c>
      <c r="O115" s="81">
        <f>RCF!F$11</f>
        <v>1.3409722222222222</v>
      </c>
      <c r="P115" s="87">
        <f t="shared" ref="P115:P116" si="366">ROUNDDOWN(Q115*C115,1)</f>
        <v>1473.8</v>
      </c>
      <c r="Q115" s="36">
        <f>RCF!F$64</f>
        <v>18.896000000000001</v>
      </c>
      <c r="R115" s="147">
        <f t="shared" ref="R115:R116" si="367">ROUNDDOWN(C115*S115,1)</f>
        <v>1422.4</v>
      </c>
      <c r="S115" s="36">
        <f>RCF!F$13</f>
        <v>18.236000000000001</v>
      </c>
      <c r="T115" s="87">
        <f t="shared" ref="T115:T116" si="368">ROUND(U115*C115,1)</f>
        <v>1306.3</v>
      </c>
      <c r="U115" s="36">
        <f>RCF!F$22</f>
        <v>16.748000000000001</v>
      </c>
      <c r="V115" s="87">
        <f t="shared" ref="V115:V116" si="369">ROUND(W115*C115,1)</f>
        <v>1460.3</v>
      </c>
      <c r="W115" s="36">
        <f>RCF!F$26</f>
        <v>18.722000000000001</v>
      </c>
      <c r="X115" s="87">
        <f t="shared" ref="X115:X116" si="370">ROUNDDOWN(Y115*C115,1)</f>
        <v>1496</v>
      </c>
      <c r="Y115" s="36">
        <f>RCF!F$33</f>
        <v>19.179939999999998</v>
      </c>
      <c r="Z115" s="87">
        <f t="shared" ref="Z115:Z116" si="371">ROUNDDOWN(AA115*C115,1)</f>
        <v>1436.4</v>
      </c>
      <c r="AA115" s="36">
        <f>RCF!F$39</f>
        <v>18.416</v>
      </c>
      <c r="AB115" s="87">
        <f t="shared" ref="AB115:AB116" si="372">ROUNDDOWN(C115*AC115,1)</f>
        <v>1946.5</v>
      </c>
      <c r="AC115" s="36">
        <f>RCF!F$35</f>
        <v>24.956</v>
      </c>
      <c r="AD115" s="87">
        <f t="shared" ref="AD115:AD116" si="373">ROUND(AE115*C115,1)</f>
        <v>1445.2</v>
      </c>
      <c r="AE115" s="81">
        <f>RCF!F$41</f>
        <v>18.527850000000001</v>
      </c>
    </row>
    <row r="116" spans="1:31" x14ac:dyDescent="0.3">
      <c r="A116" s="243">
        <v>3947</v>
      </c>
      <c r="B116" s="145" t="s">
        <v>224</v>
      </c>
      <c r="C116" s="146">
        <v>7.23</v>
      </c>
      <c r="D116" s="176">
        <f t="shared" si="359"/>
        <v>159.4</v>
      </c>
      <c r="E116" s="177">
        <f t="shared" si="360"/>
        <v>22.044274999999999</v>
      </c>
      <c r="F116" s="87">
        <f t="shared" si="361"/>
        <v>149.69999999999999</v>
      </c>
      <c r="G116" s="36">
        <f>RCF!E$5</f>
        <v>20.710999999999999</v>
      </c>
      <c r="H116" s="87">
        <f t="shared" si="362"/>
        <v>108.6</v>
      </c>
      <c r="I116" s="36">
        <f>RCF!E$37</f>
        <v>15.026178010471202</v>
      </c>
      <c r="J116" s="253">
        <f t="shared" si="363"/>
        <v>0</v>
      </c>
      <c r="K116" s="36">
        <f>RCF!E$7</f>
        <v>0</v>
      </c>
      <c r="L116" s="87">
        <f t="shared" si="364"/>
        <v>149.69999999999999</v>
      </c>
      <c r="M116" s="81">
        <f>RCF!E$9</f>
        <v>20.702000000000002</v>
      </c>
      <c r="N116" s="87">
        <f t="shared" si="365"/>
        <v>152.1</v>
      </c>
      <c r="O116" s="81">
        <f>RCF!E$11</f>
        <v>21.038</v>
      </c>
      <c r="P116" s="87">
        <f t="shared" si="366"/>
        <v>0</v>
      </c>
      <c r="Q116" s="36">
        <f>RCF!E$64</f>
        <v>0</v>
      </c>
      <c r="R116" s="147">
        <f t="shared" si="367"/>
        <v>106.5</v>
      </c>
      <c r="S116" s="36">
        <f>RCF!E$13</f>
        <v>14.738219895287957</v>
      </c>
      <c r="T116" s="87">
        <f t="shared" si="368"/>
        <v>97.9</v>
      </c>
      <c r="U116" s="36">
        <f>RCF!E$22</f>
        <v>13.544502617801045</v>
      </c>
      <c r="V116" s="87">
        <f t="shared" si="369"/>
        <v>109.4</v>
      </c>
      <c r="W116" s="36">
        <f>RCF!E$26</f>
        <v>15.136125654450263</v>
      </c>
      <c r="X116" s="87">
        <f t="shared" si="370"/>
        <v>168.1</v>
      </c>
      <c r="Y116" s="36">
        <f>RCF!E$33</f>
        <v>23.261132</v>
      </c>
      <c r="Z116" s="87">
        <f t="shared" si="371"/>
        <v>134</v>
      </c>
      <c r="AA116" s="36">
        <f>RCF!E$39</f>
        <v>18.539267015706805</v>
      </c>
      <c r="AB116" s="87">
        <f t="shared" si="372"/>
        <v>112.3</v>
      </c>
      <c r="AC116" s="36">
        <f>RCF!E$35</f>
        <v>15.534031413612563</v>
      </c>
      <c r="AD116" s="87">
        <f t="shared" si="373"/>
        <v>159.4</v>
      </c>
      <c r="AE116" s="81">
        <f>RCF!E$41</f>
        <v>22.044274999999999</v>
      </c>
    </row>
    <row r="117" spans="1:31" x14ac:dyDescent="0.3">
      <c r="A117" s="243">
        <v>3762</v>
      </c>
      <c r="B117" s="145" t="s">
        <v>29</v>
      </c>
      <c r="C117" s="146">
        <v>1.2</v>
      </c>
      <c r="D117" s="176">
        <f t="shared" si="264"/>
        <v>26.5</v>
      </c>
      <c r="E117" s="177">
        <f t="shared" si="313"/>
        <v>22.044274999999999</v>
      </c>
      <c r="F117" s="87">
        <f t="shared" si="83"/>
        <v>24.9</v>
      </c>
      <c r="G117" s="36">
        <f>RCF!E$5</f>
        <v>20.710999999999999</v>
      </c>
      <c r="H117" s="87">
        <f t="shared" si="84"/>
        <v>18</v>
      </c>
      <c r="I117" s="36">
        <f>RCF!E$37</f>
        <v>15.026178010471202</v>
      </c>
      <c r="J117" s="253">
        <f t="shared" si="85"/>
        <v>0</v>
      </c>
      <c r="K117" s="36">
        <f>RCF!E$7</f>
        <v>0</v>
      </c>
      <c r="L117" s="87">
        <f t="shared" si="307"/>
        <v>24.8</v>
      </c>
      <c r="M117" s="81">
        <f>RCF!E$9</f>
        <v>20.702000000000002</v>
      </c>
      <c r="N117" s="87">
        <f t="shared" si="93"/>
        <v>25.2</v>
      </c>
      <c r="O117" s="81">
        <f>RCF!E$11</f>
        <v>21.038</v>
      </c>
      <c r="P117" s="87">
        <f t="shared" si="53"/>
        <v>0</v>
      </c>
      <c r="Q117" s="36">
        <f>RCF!E$64</f>
        <v>0</v>
      </c>
      <c r="R117" s="147">
        <f t="shared" si="86"/>
        <v>17.600000000000001</v>
      </c>
      <c r="S117" s="36">
        <f>RCF!E$13</f>
        <v>14.738219895287957</v>
      </c>
      <c r="T117" s="87">
        <f t="shared" si="308"/>
        <v>16.3</v>
      </c>
      <c r="U117" s="36">
        <f>RCF!E$22</f>
        <v>13.544502617801045</v>
      </c>
      <c r="V117" s="87">
        <f t="shared" si="309"/>
        <v>18.2</v>
      </c>
      <c r="W117" s="36">
        <f>RCF!E$26</f>
        <v>15.136125654450263</v>
      </c>
      <c r="X117" s="87">
        <f t="shared" si="88"/>
        <v>27.9</v>
      </c>
      <c r="Y117" s="36">
        <f>RCF!E$33</f>
        <v>23.261132</v>
      </c>
      <c r="Z117" s="87">
        <f t="shared" si="310"/>
        <v>22.2</v>
      </c>
      <c r="AA117" s="36">
        <f>RCF!E$39</f>
        <v>18.539267015706805</v>
      </c>
      <c r="AB117" s="87">
        <f t="shared" si="311"/>
        <v>18.600000000000001</v>
      </c>
      <c r="AC117" s="36">
        <f>RCF!E$35</f>
        <v>15.534031413612563</v>
      </c>
      <c r="AD117" s="87">
        <f t="shared" si="312"/>
        <v>26.5</v>
      </c>
      <c r="AE117" s="81">
        <f>RCF!E$41</f>
        <v>22.044274999999999</v>
      </c>
    </row>
    <row r="118" spans="1:31" x14ac:dyDescent="0.3">
      <c r="A118" s="243">
        <v>4025</v>
      </c>
      <c r="B118" s="145" t="s">
        <v>30</v>
      </c>
      <c r="C118" s="146">
        <v>18.05</v>
      </c>
      <c r="D118" s="176">
        <f t="shared" si="264"/>
        <v>397.9</v>
      </c>
      <c r="E118" s="177">
        <f t="shared" si="313"/>
        <v>22.044274999999999</v>
      </c>
      <c r="F118" s="87">
        <f t="shared" si="83"/>
        <v>373.8</v>
      </c>
      <c r="G118" s="36">
        <f>RCF!E$5</f>
        <v>20.710999999999999</v>
      </c>
      <c r="H118" s="87">
        <f t="shared" si="84"/>
        <v>271.2</v>
      </c>
      <c r="I118" s="36">
        <f>RCF!E$37</f>
        <v>15.026178010471202</v>
      </c>
      <c r="J118" s="253">
        <f t="shared" si="85"/>
        <v>0</v>
      </c>
      <c r="K118" s="36">
        <f>RCF!E$7</f>
        <v>0</v>
      </c>
      <c r="L118" s="87">
        <f t="shared" si="307"/>
        <v>373.7</v>
      </c>
      <c r="M118" s="81">
        <f>RCF!E$9</f>
        <v>20.702000000000002</v>
      </c>
      <c r="N118" s="87">
        <f t="shared" si="93"/>
        <v>379.7</v>
      </c>
      <c r="O118" s="81">
        <f>RCF!E$11</f>
        <v>21.038</v>
      </c>
      <c r="P118" s="87">
        <f t="shared" si="53"/>
        <v>0</v>
      </c>
      <c r="Q118" s="36">
        <f>RCF!E$64</f>
        <v>0</v>
      </c>
      <c r="R118" s="147">
        <f t="shared" si="86"/>
        <v>266</v>
      </c>
      <c r="S118" s="36">
        <f>RCF!E$13</f>
        <v>14.738219895287957</v>
      </c>
      <c r="T118" s="87">
        <f t="shared" si="308"/>
        <v>244.5</v>
      </c>
      <c r="U118" s="36">
        <f>RCF!E$22</f>
        <v>13.544502617801045</v>
      </c>
      <c r="V118" s="87">
        <f t="shared" si="309"/>
        <v>273.2</v>
      </c>
      <c r="W118" s="36">
        <f>RCF!E$26</f>
        <v>15.136125654450263</v>
      </c>
      <c r="X118" s="87">
        <f t="shared" si="88"/>
        <v>419.8</v>
      </c>
      <c r="Y118" s="36">
        <f>RCF!E$33</f>
        <v>23.261132</v>
      </c>
      <c r="Z118" s="87">
        <f t="shared" si="310"/>
        <v>334.6</v>
      </c>
      <c r="AA118" s="36">
        <f>RCF!E$39</f>
        <v>18.539267015706805</v>
      </c>
      <c r="AB118" s="87">
        <f t="shared" si="311"/>
        <v>280.3</v>
      </c>
      <c r="AC118" s="36">
        <f>RCF!E$35</f>
        <v>15.534031413612563</v>
      </c>
      <c r="AD118" s="87">
        <f t="shared" si="312"/>
        <v>397.9</v>
      </c>
      <c r="AE118" s="81">
        <f>RCF!E$41</f>
        <v>22.044274999999999</v>
      </c>
    </row>
    <row r="119" spans="1:31" x14ac:dyDescent="0.3">
      <c r="A119" s="243">
        <v>4027</v>
      </c>
      <c r="B119" s="145" t="s">
        <v>31</v>
      </c>
      <c r="C119" s="146">
        <v>3.56</v>
      </c>
      <c r="D119" s="176">
        <f t="shared" si="264"/>
        <v>78.5</v>
      </c>
      <c r="E119" s="177">
        <f t="shared" si="313"/>
        <v>22.044274999999999</v>
      </c>
      <c r="F119" s="87">
        <f t="shared" si="83"/>
        <v>73.7</v>
      </c>
      <c r="G119" s="36">
        <f>RCF!E$5</f>
        <v>20.710999999999999</v>
      </c>
      <c r="H119" s="87">
        <f t="shared" si="84"/>
        <v>53.4</v>
      </c>
      <c r="I119" s="36">
        <f>RCF!E$37</f>
        <v>15.026178010471202</v>
      </c>
      <c r="J119" s="253">
        <f t="shared" si="85"/>
        <v>0</v>
      </c>
      <c r="K119" s="36">
        <f>RCF!E$7</f>
        <v>0</v>
      </c>
      <c r="L119" s="87">
        <f t="shared" si="307"/>
        <v>73.7</v>
      </c>
      <c r="M119" s="81">
        <f>RCF!E$9</f>
        <v>20.702000000000002</v>
      </c>
      <c r="N119" s="87">
        <f t="shared" si="93"/>
        <v>74.900000000000006</v>
      </c>
      <c r="O119" s="81">
        <f>RCF!E$11</f>
        <v>21.038</v>
      </c>
      <c r="P119" s="87">
        <f t="shared" si="53"/>
        <v>0</v>
      </c>
      <c r="Q119" s="36">
        <f>RCF!E$64</f>
        <v>0</v>
      </c>
      <c r="R119" s="147">
        <f t="shared" si="86"/>
        <v>52.4</v>
      </c>
      <c r="S119" s="36">
        <f>RCF!E$13</f>
        <v>14.738219895287957</v>
      </c>
      <c r="T119" s="87">
        <f t="shared" si="308"/>
        <v>48.2</v>
      </c>
      <c r="U119" s="36">
        <f>RCF!E$22</f>
        <v>13.544502617801045</v>
      </c>
      <c r="V119" s="87">
        <f t="shared" si="309"/>
        <v>53.9</v>
      </c>
      <c r="W119" s="36">
        <f>RCF!E$26</f>
        <v>15.136125654450263</v>
      </c>
      <c r="X119" s="87">
        <f t="shared" si="88"/>
        <v>82.8</v>
      </c>
      <c r="Y119" s="36">
        <f>RCF!E$33</f>
        <v>23.261132</v>
      </c>
      <c r="Z119" s="87">
        <f t="shared" si="310"/>
        <v>65.900000000000006</v>
      </c>
      <c r="AA119" s="36">
        <f>RCF!E$39</f>
        <v>18.539267015706805</v>
      </c>
      <c r="AB119" s="87">
        <f t="shared" si="311"/>
        <v>55.3</v>
      </c>
      <c r="AC119" s="36">
        <f>RCF!E$35</f>
        <v>15.534031413612563</v>
      </c>
      <c r="AD119" s="87">
        <f t="shared" si="312"/>
        <v>78.5</v>
      </c>
      <c r="AE119" s="81">
        <f>RCF!E$41</f>
        <v>22.044274999999999</v>
      </c>
    </row>
    <row r="120" spans="1:31" x14ac:dyDescent="0.3">
      <c r="A120" s="243">
        <v>4050</v>
      </c>
      <c r="B120" s="145" t="s">
        <v>32</v>
      </c>
      <c r="C120" s="146">
        <v>1.2</v>
      </c>
      <c r="D120" s="176">
        <f t="shared" si="264"/>
        <v>26.5</v>
      </c>
      <c r="E120" s="177">
        <f t="shared" si="313"/>
        <v>22.044274999999999</v>
      </c>
      <c r="F120" s="87">
        <f t="shared" si="83"/>
        <v>24.9</v>
      </c>
      <c r="G120" s="36">
        <f>RCF!E$5</f>
        <v>20.710999999999999</v>
      </c>
      <c r="H120" s="87">
        <f t="shared" si="84"/>
        <v>18</v>
      </c>
      <c r="I120" s="36">
        <f>RCF!E$37</f>
        <v>15.026178010471202</v>
      </c>
      <c r="J120" s="253">
        <f t="shared" si="85"/>
        <v>0</v>
      </c>
      <c r="K120" s="36">
        <f>RCF!E$7</f>
        <v>0</v>
      </c>
      <c r="L120" s="87">
        <f t="shared" si="307"/>
        <v>24.8</v>
      </c>
      <c r="M120" s="81">
        <f>RCF!E$9</f>
        <v>20.702000000000002</v>
      </c>
      <c r="N120" s="87">
        <f t="shared" si="93"/>
        <v>25.2</v>
      </c>
      <c r="O120" s="81">
        <f>RCF!E$11</f>
        <v>21.038</v>
      </c>
      <c r="P120" s="87">
        <f t="shared" si="53"/>
        <v>0</v>
      </c>
      <c r="Q120" s="36">
        <f>RCF!E$64</f>
        <v>0</v>
      </c>
      <c r="R120" s="147">
        <f t="shared" si="86"/>
        <v>17.600000000000001</v>
      </c>
      <c r="S120" s="36">
        <f>RCF!E$13</f>
        <v>14.738219895287957</v>
      </c>
      <c r="T120" s="87">
        <f t="shared" si="308"/>
        <v>16.3</v>
      </c>
      <c r="U120" s="36">
        <f>RCF!E$22</f>
        <v>13.544502617801045</v>
      </c>
      <c r="V120" s="87">
        <f t="shared" si="309"/>
        <v>18.2</v>
      </c>
      <c r="W120" s="36">
        <f>RCF!E$26</f>
        <v>15.136125654450263</v>
      </c>
      <c r="X120" s="87">
        <f t="shared" si="88"/>
        <v>27.9</v>
      </c>
      <c r="Y120" s="36">
        <f>RCF!E$33</f>
        <v>23.261132</v>
      </c>
      <c r="Z120" s="87">
        <f t="shared" si="310"/>
        <v>22.2</v>
      </c>
      <c r="AA120" s="36">
        <f>RCF!E$39</f>
        <v>18.539267015706805</v>
      </c>
      <c r="AB120" s="87">
        <f t="shared" si="311"/>
        <v>18.600000000000001</v>
      </c>
      <c r="AC120" s="36">
        <f>RCF!E$35</f>
        <v>15.534031413612563</v>
      </c>
      <c r="AD120" s="87">
        <f t="shared" si="312"/>
        <v>26.5</v>
      </c>
      <c r="AE120" s="81">
        <f>RCF!E$41</f>
        <v>22.044274999999999</v>
      </c>
    </row>
    <row r="121" spans="1:31" x14ac:dyDescent="0.3">
      <c r="A121" s="243">
        <v>4053</v>
      </c>
      <c r="B121" s="145" t="s">
        <v>33</v>
      </c>
      <c r="C121" s="146">
        <v>11.58</v>
      </c>
      <c r="D121" s="176">
        <f t="shared" si="264"/>
        <v>255.3</v>
      </c>
      <c r="E121" s="177">
        <f t="shared" si="313"/>
        <v>22.044274999999999</v>
      </c>
      <c r="F121" s="87">
        <f t="shared" si="83"/>
        <v>239.8</v>
      </c>
      <c r="G121" s="36">
        <f>RCF!E$5</f>
        <v>20.710999999999999</v>
      </c>
      <c r="H121" s="87">
        <f t="shared" si="84"/>
        <v>174</v>
      </c>
      <c r="I121" s="36">
        <f>RCF!E$37</f>
        <v>15.026178010471202</v>
      </c>
      <c r="J121" s="253">
        <f t="shared" si="85"/>
        <v>0</v>
      </c>
      <c r="K121" s="36">
        <f>RCF!E$7</f>
        <v>0</v>
      </c>
      <c r="L121" s="87">
        <f t="shared" si="307"/>
        <v>239.7</v>
      </c>
      <c r="M121" s="81">
        <f>RCF!E$9</f>
        <v>20.702000000000002</v>
      </c>
      <c r="N121" s="87">
        <f t="shared" si="93"/>
        <v>243.6</v>
      </c>
      <c r="O121" s="81">
        <f>RCF!E$11</f>
        <v>21.038</v>
      </c>
      <c r="P121" s="87">
        <f t="shared" si="53"/>
        <v>0</v>
      </c>
      <c r="Q121" s="36">
        <f>RCF!E$64</f>
        <v>0</v>
      </c>
      <c r="R121" s="147">
        <f t="shared" si="86"/>
        <v>170.6</v>
      </c>
      <c r="S121" s="36">
        <f>RCF!E$13</f>
        <v>14.738219895287957</v>
      </c>
      <c r="T121" s="87">
        <f t="shared" si="308"/>
        <v>156.80000000000001</v>
      </c>
      <c r="U121" s="36">
        <f>RCF!E$22</f>
        <v>13.544502617801045</v>
      </c>
      <c r="V121" s="87">
        <f t="shared" si="309"/>
        <v>175.3</v>
      </c>
      <c r="W121" s="36">
        <f>RCF!E$26</f>
        <v>15.136125654450263</v>
      </c>
      <c r="X121" s="87">
        <f t="shared" si="88"/>
        <v>269.3</v>
      </c>
      <c r="Y121" s="36">
        <f>RCF!E$33</f>
        <v>23.261132</v>
      </c>
      <c r="Z121" s="87">
        <f t="shared" si="310"/>
        <v>214.6</v>
      </c>
      <c r="AA121" s="36">
        <f>RCF!E$39</f>
        <v>18.539267015706805</v>
      </c>
      <c r="AB121" s="87">
        <f t="shared" si="311"/>
        <v>179.8</v>
      </c>
      <c r="AC121" s="36">
        <f>RCF!E$35</f>
        <v>15.534031413612563</v>
      </c>
      <c r="AD121" s="87">
        <f t="shared" si="312"/>
        <v>255.3</v>
      </c>
      <c r="AE121" s="81">
        <f>RCF!E$41</f>
        <v>22.044274999999999</v>
      </c>
    </row>
    <row r="122" spans="1:31" x14ac:dyDescent="0.3">
      <c r="A122" s="243">
        <v>4057</v>
      </c>
      <c r="B122" s="145" t="s">
        <v>41</v>
      </c>
      <c r="C122" s="146">
        <v>2.41</v>
      </c>
      <c r="D122" s="176">
        <f t="shared" si="264"/>
        <v>53.1</v>
      </c>
      <c r="E122" s="177">
        <f t="shared" si="313"/>
        <v>22.044274999999999</v>
      </c>
      <c r="F122" s="87">
        <f t="shared" ref="F122:F139" si="374">ROUND(G122*$C122,1)</f>
        <v>49.9</v>
      </c>
      <c r="G122" s="36">
        <f>RCF!E$5</f>
        <v>20.710999999999999</v>
      </c>
      <c r="H122" s="87">
        <f t="shared" ref="H122:H139" si="375">ROUNDDOWN(I122*C122,1)</f>
        <v>36.200000000000003</v>
      </c>
      <c r="I122" s="36">
        <f>RCF!E$37</f>
        <v>15.026178010471202</v>
      </c>
      <c r="J122" s="253">
        <f t="shared" ref="J122:J139" si="376">ROUNDDOWN(C122*K122,1)</f>
        <v>0</v>
      </c>
      <c r="K122" s="36">
        <f>RCF!E$7</f>
        <v>0</v>
      </c>
      <c r="L122" s="87">
        <f t="shared" si="307"/>
        <v>49.9</v>
      </c>
      <c r="M122" s="81">
        <f>RCF!E$9</f>
        <v>20.702000000000002</v>
      </c>
      <c r="N122" s="87">
        <f t="shared" si="93"/>
        <v>50.7</v>
      </c>
      <c r="O122" s="81">
        <f>RCF!E$11</f>
        <v>21.038</v>
      </c>
      <c r="P122" s="87">
        <f t="shared" si="53"/>
        <v>0</v>
      </c>
      <c r="Q122" s="36">
        <f>RCF!E$64</f>
        <v>0</v>
      </c>
      <c r="R122" s="147">
        <f t="shared" ref="R122:R138" si="377">ROUNDDOWN(C122*S122,1)</f>
        <v>35.5</v>
      </c>
      <c r="S122" s="36">
        <f>RCF!E$13</f>
        <v>14.738219895287957</v>
      </c>
      <c r="T122" s="87">
        <f t="shared" si="308"/>
        <v>32.6</v>
      </c>
      <c r="U122" s="36">
        <f>RCF!E$22</f>
        <v>13.544502617801045</v>
      </c>
      <c r="V122" s="87">
        <f t="shared" si="309"/>
        <v>36.5</v>
      </c>
      <c r="W122" s="36">
        <f>RCF!E$26</f>
        <v>15.136125654450263</v>
      </c>
      <c r="X122" s="87">
        <f t="shared" ref="X122:X139" si="378">ROUNDDOWN(Y122*C122,1)</f>
        <v>56</v>
      </c>
      <c r="Y122" s="36">
        <f>RCF!E$33</f>
        <v>23.261132</v>
      </c>
      <c r="Z122" s="87">
        <f t="shared" si="310"/>
        <v>44.6</v>
      </c>
      <c r="AA122" s="36">
        <f>RCF!E$39</f>
        <v>18.539267015706805</v>
      </c>
      <c r="AB122" s="87">
        <f t="shared" si="311"/>
        <v>37.4</v>
      </c>
      <c r="AC122" s="36">
        <f>RCF!E$35</f>
        <v>15.534031413612563</v>
      </c>
      <c r="AD122" s="87">
        <f t="shared" si="312"/>
        <v>53.1</v>
      </c>
      <c r="AE122" s="81">
        <f>RCF!E$41</f>
        <v>22.044274999999999</v>
      </c>
    </row>
    <row r="123" spans="1:31" x14ac:dyDescent="0.3">
      <c r="A123" s="243">
        <v>4064</v>
      </c>
      <c r="B123" s="145" t="s">
        <v>225</v>
      </c>
      <c r="C123" s="146">
        <v>9.5</v>
      </c>
      <c r="D123" s="176">
        <f t="shared" ref="D123" si="379">ROUND(E123*C123,1)</f>
        <v>209.4</v>
      </c>
      <c r="E123" s="177">
        <f t="shared" ref="E123" si="380">AE123</f>
        <v>22.044274999999999</v>
      </c>
      <c r="F123" s="87">
        <f t="shared" ref="F123" si="381">ROUND(G123*$C123,1)</f>
        <v>196.8</v>
      </c>
      <c r="G123" s="36">
        <f>RCF!E$5</f>
        <v>20.710999999999999</v>
      </c>
      <c r="H123" s="87">
        <f t="shared" ref="H123" si="382">ROUNDDOWN(I123*C123,1)</f>
        <v>142.69999999999999</v>
      </c>
      <c r="I123" s="36">
        <f>RCF!E$37</f>
        <v>15.026178010471202</v>
      </c>
      <c r="J123" s="253">
        <f t="shared" ref="J123" si="383">ROUNDDOWN(C123*K123,1)</f>
        <v>0</v>
      </c>
      <c r="K123" s="36">
        <f>RCF!E$7</f>
        <v>0</v>
      </c>
      <c r="L123" s="87">
        <f t="shared" ref="L123" si="384">ROUND(M123*$C123,1)</f>
        <v>196.7</v>
      </c>
      <c r="M123" s="81">
        <f>RCF!E$9</f>
        <v>20.702000000000002</v>
      </c>
      <c r="N123" s="87">
        <f t="shared" ref="N123" si="385">ROUND(O123*$C123,1)</f>
        <v>199.9</v>
      </c>
      <c r="O123" s="81">
        <f>RCF!E$11</f>
        <v>21.038</v>
      </c>
      <c r="P123" s="87">
        <f t="shared" ref="P123" si="386">ROUNDDOWN(Q123*C123,1)</f>
        <v>0</v>
      </c>
      <c r="Q123" s="36">
        <f>RCF!E$64</f>
        <v>0</v>
      </c>
      <c r="R123" s="147">
        <f t="shared" ref="R123" si="387">ROUNDDOWN(C123*S123,1)</f>
        <v>140</v>
      </c>
      <c r="S123" s="36">
        <f>RCF!E$13</f>
        <v>14.738219895287957</v>
      </c>
      <c r="T123" s="87">
        <f t="shared" ref="T123" si="388">ROUND(U123*C123,1)</f>
        <v>128.69999999999999</v>
      </c>
      <c r="U123" s="36">
        <f>RCF!E$22</f>
        <v>13.544502617801045</v>
      </c>
      <c r="V123" s="87">
        <f t="shared" ref="V123" si="389">ROUND(W123*C123,1)</f>
        <v>143.80000000000001</v>
      </c>
      <c r="W123" s="36">
        <f>RCF!E$26</f>
        <v>15.136125654450263</v>
      </c>
      <c r="X123" s="87">
        <f t="shared" ref="X123" si="390">ROUNDDOWN(Y123*C123,1)</f>
        <v>220.9</v>
      </c>
      <c r="Y123" s="36">
        <f>RCF!E$33</f>
        <v>23.261132</v>
      </c>
      <c r="Z123" s="87">
        <f t="shared" ref="Z123" si="391">ROUNDDOWN(AA123*C123,1)</f>
        <v>176.1</v>
      </c>
      <c r="AA123" s="36">
        <f>RCF!E$39</f>
        <v>18.539267015706805</v>
      </c>
      <c r="AB123" s="87">
        <f t="shared" ref="AB123" si="392">ROUNDDOWN(C123*AC123,1)</f>
        <v>147.5</v>
      </c>
      <c r="AC123" s="36">
        <f>RCF!E$35</f>
        <v>15.534031413612563</v>
      </c>
      <c r="AD123" s="87">
        <f t="shared" ref="AD123" si="393">ROUND(AE123*C123,1)</f>
        <v>209.4</v>
      </c>
      <c r="AE123" s="81">
        <f>RCF!E$41</f>
        <v>22.044274999999999</v>
      </c>
    </row>
    <row r="124" spans="1:31" x14ac:dyDescent="0.3">
      <c r="A124" s="243">
        <v>4188</v>
      </c>
      <c r="B124" s="145" t="s">
        <v>10</v>
      </c>
      <c r="C124" s="146">
        <v>1</v>
      </c>
      <c r="D124" s="176">
        <f t="shared" si="264"/>
        <v>22</v>
      </c>
      <c r="E124" s="177">
        <f t="shared" si="313"/>
        <v>22.044274999999999</v>
      </c>
      <c r="F124" s="87">
        <f t="shared" si="374"/>
        <v>20.7</v>
      </c>
      <c r="G124" s="36">
        <f>RCF!E$5</f>
        <v>20.710999999999999</v>
      </c>
      <c r="H124" s="87">
        <f t="shared" si="375"/>
        <v>15</v>
      </c>
      <c r="I124" s="36">
        <f>RCF!E$37</f>
        <v>15.026178010471202</v>
      </c>
      <c r="J124" s="253">
        <f t="shared" si="376"/>
        <v>0</v>
      </c>
      <c r="K124" s="36">
        <f>RCF!E$7</f>
        <v>0</v>
      </c>
      <c r="L124" s="87">
        <f t="shared" si="307"/>
        <v>20.7</v>
      </c>
      <c r="M124" s="81">
        <f>RCF!E$9</f>
        <v>20.702000000000002</v>
      </c>
      <c r="N124" s="87">
        <f t="shared" ref="N124:N139" si="394">ROUND(O124*$C124,1)</f>
        <v>21</v>
      </c>
      <c r="O124" s="81">
        <f>RCF!E$11</f>
        <v>21.038</v>
      </c>
      <c r="P124" s="87">
        <f t="shared" si="53"/>
        <v>0</v>
      </c>
      <c r="Q124" s="36">
        <f>RCF!E$64</f>
        <v>0</v>
      </c>
      <c r="R124" s="147">
        <f t="shared" si="377"/>
        <v>14.7</v>
      </c>
      <c r="S124" s="36">
        <f>RCF!E$13</f>
        <v>14.738219895287957</v>
      </c>
      <c r="T124" s="87">
        <f t="shared" si="308"/>
        <v>13.5</v>
      </c>
      <c r="U124" s="36">
        <f>RCF!E$22</f>
        <v>13.544502617801045</v>
      </c>
      <c r="V124" s="87">
        <f t="shared" si="309"/>
        <v>15.1</v>
      </c>
      <c r="W124" s="36">
        <f>RCF!E$26</f>
        <v>15.136125654450263</v>
      </c>
      <c r="X124" s="87">
        <f t="shared" si="378"/>
        <v>23.2</v>
      </c>
      <c r="Y124" s="36">
        <f>RCF!E$33</f>
        <v>23.261132</v>
      </c>
      <c r="Z124" s="87">
        <f t="shared" si="310"/>
        <v>18.5</v>
      </c>
      <c r="AA124" s="36">
        <f>RCF!E$39</f>
        <v>18.539267015706805</v>
      </c>
      <c r="AB124" s="87">
        <f t="shared" si="311"/>
        <v>15.5</v>
      </c>
      <c r="AC124" s="36">
        <f>RCF!E$35</f>
        <v>15.534031413612563</v>
      </c>
      <c r="AD124" s="87">
        <f t="shared" si="312"/>
        <v>22</v>
      </c>
      <c r="AE124" s="81">
        <f>RCF!E$41</f>
        <v>22.044274999999999</v>
      </c>
    </row>
    <row r="125" spans="1:31" x14ac:dyDescent="0.3">
      <c r="A125" s="243">
        <v>4213</v>
      </c>
      <c r="B125" s="145" t="s">
        <v>34</v>
      </c>
      <c r="C125" s="146">
        <v>1.5</v>
      </c>
      <c r="D125" s="176">
        <f t="shared" si="264"/>
        <v>33.1</v>
      </c>
      <c r="E125" s="177">
        <f t="shared" si="313"/>
        <v>22.044274999999999</v>
      </c>
      <c r="F125" s="87">
        <f t="shared" si="374"/>
        <v>31.1</v>
      </c>
      <c r="G125" s="36">
        <f>RCF!E$5</f>
        <v>20.710999999999999</v>
      </c>
      <c r="H125" s="87">
        <f t="shared" si="375"/>
        <v>22.5</v>
      </c>
      <c r="I125" s="36">
        <f>RCF!E$37</f>
        <v>15.026178010471202</v>
      </c>
      <c r="J125" s="253">
        <f t="shared" si="376"/>
        <v>0</v>
      </c>
      <c r="K125" s="36">
        <f>RCF!E$7</f>
        <v>0</v>
      </c>
      <c r="L125" s="87">
        <f t="shared" si="307"/>
        <v>31.1</v>
      </c>
      <c r="M125" s="81">
        <f>RCF!E$9</f>
        <v>20.702000000000002</v>
      </c>
      <c r="N125" s="87">
        <f t="shared" si="394"/>
        <v>31.6</v>
      </c>
      <c r="O125" s="81">
        <f>RCF!E$11</f>
        <v>21.038</v>
      </c>
      <c r="P125" s="87">
        <f t="shared" ref="P125:P139" si="395">ROUNDDOWN(Q125*C125,1)</f>
        <v>0</v>
      </c>
      <c r="Q125" s="36">
        <f>RCF!E$64</f>
        <v>0</v>
      </c>
      <c r="R125" s="147">
        <f t="shared" si="377"/>
        <v>22.1</v>
      </c>
      <c r="S125" s="36">
        <f>RCF!E$13</f>
        <v>14.738219895287957</v>
      </c>
      <c r="T125" s="87">
        <f t="shared" si="308"/>
        <v>20.3</v>
      </c>
      <c r="U125" s="36">
        <f>RCF!E$22</f>
        <v>13.544502617801045</v>
      </c>
      <c r="V125" s="87">
        <f t="shared" si="309"/>
        <v>22.7</v>
      </c>
      <c r="W125" s="36">
        <f>RCF!E$26</f>
        <v>15.136125654450263</v>
      </c>
      <c r="X125" s="87">
        <f t="shared" si="378"/>
        <v>34.799999999999997</v>
      </c>
      <c r="Y125" s="36">
        <f>RCF!E$33</f>
        <v>23.261132</v>
      </c>
      <c r="Z125" s="87">
        <f t="shared" si="310"/>
        <v>27.8</v>
      </c>
      <c r="AA125" s="36">
        <f>RCF!E$39</f>
        <v>18.539267015706805</v>
      </c>
      <c r="AB125" s="87">
        <f t="shared" si="311"/>
        <v>23.3</v>
      </c>
      <c r="AC125" s="36">
        <f>RCF!E$35</f>
        <v>15.534031413612563</v>
      </c>
      <c r="AD125" s="87">
        <f t="shared" si="312"/>
        <v>33.1</v>
      </c>
      <c r="AE125" s="81">
        <f>RCF!E$41</f>
        <v>22.044274999999999</v>
      </c>
    </row>
    <row r="126" spans="1:31" x14ac:dyDescent="0.3">
      <c r="A126" s="243">
        <v>4448</v>
      </c>
      <c r="B126" s="145" t="s">
        <v>35</v>
      </c>
      <c r="C126" s="146">
        <v>2.67</v>
      </c>
      <c r="D126" s="176">
        <f t="shared" si="264"/>
        <v>58.9</v>
      </c>
      <c r="E126" s="177">
        <f t="shared" si="313"/>
        <v>22.044274999999999</v>
      </c>
      <c r="F126" s="87">
        <f t="shared" si="374"/>
        <v>55.3</v>
      </c>
      <c r="G126" s="36">
        <f>RCF!E$5</f>
        <v>20.710999999999999</v>
      </c>
      <c r="H126" s="87">
        <f t="shared" si="375"/>
        <v>40.1</v>
      </c>
      <c r="I126" s="36">
        <f>RCF!E$37</f>
        <v>15.026178010471202</v>
      </c>
      <c r="J126" s="253">
        <f t="shared" si="376"/>
        <v>0</v>
      </c>
      <c r="K126" s="36">
        <f>RCF!E$7</f>
        <v>0</v>
      </c>
      <c r="L126" s="87">
        <f t="shared" si="307"/>
        <v>55.3</v>
      </c>
      <c r="M126" s="81">
        <f>RCF!E$9</f>
        <v>20.702000000000002</v>
      </c>
      <c r="N126" s="87">
        <f t="shared" si="394"/>
        <v>56.2</v>
      </c>
      <c r="O126" s="81">
        <f>RCF!E$11</f>
        <v>21.038</v>
      </c>
      <c r="P126" s="87">
        <f t="shared" si="395"/>
        <v>0</v>
      </c>
      <c r="Q126" s="36">
        <f>RCF!E$64</f>
        <v>0</v>
      </c>
      <c r="R126" s="147">
        <f t="shared" si="377"/>
        <v>39.299999999999997</v>
      </c>
      <c r="S126" s="36">
        <f>RCF!E$13</f>
        <v>14.738219895287957</v>
      </c>
      <c r="T126" s="87">
        <f t="shared" si="308"/>
        <v>36.200000000000003</v>
      </c>
      <c r="U126" s="36">
        <f>RCF!E$22</f>
        <v>13.544502617801045</v>
      </c>
      <c r="V126" s="87">
        <f t="shared" si="309"/>
        <v>40.4</v>
      </c>
      <c r="W126" s="36">
        <f>RCF!E$26</f>
        <v>15.136125654450263</v>
      </c>
      <c r="X126" s="87">
        <f t="shared" si="378"/>
        <v>62.1</v>
      </c>
      <c r="Y126" s="36">
        <f>RCF!E$33</f>
        <v>23.261132</v>
      </c>
      <c r="Z126" s="87">
        <f t="shared" si="310"/>
        <v>49.4</v>
      </c>
      <c r="AA126" s="36">
        <f>RCF!E$39</f>
        <v>18.539267015706805</v>
      </c>
      <c r="AB126" s="87">
        <f t="shared" si="311"/>
        <v>41.4</v>
      </c>
      <c r="AC126" s="36">
        <f>RCF!E$35</f>
        <v>15.534031413612563</v>
      </c>
      <c r="AD126" s="87">
        <f t="shared" si="312"/>
        <v>58.9</v>
      </c>
      <c r="AE126" s="81">
        <f>RCF!E$41</f>
        <v>22.044274999999999</v>
      </c>
    </row>
    <row r="127" spans="1:31" x14ac:dyDescent="0.3">
      <c r="A127" s="243">
        <v>4451</v>
      </c>
      <c r="B127" s="145" t="s">
        <v>36</v>
      </c>
      <c r="C127" s="146">
        <v>8.27</v>
      </c>
      <c r="D127" s="176">
        <f t="shared" si="264"/>
        <v>182.3</v>
      </c>
      <c r="E127" s="177">
        <f t="shared" si="313"/>
        <v>22.044274999999999</v>
      </c>
      <c r="F127" s="87">
        <f t="shared" si="374"/>
        <v>171.3</v>
      </c>
      <c r="G127" s="36">
        <f>RCF!E$5</f>
        <v>20.710999999999999</v>
      </c>
      <c r="H127" s="87">
        <f t="shared" si="375"/>
        <v>124.2</v>
      </c>
      <c r="I127" s="36">
        <f>RCF!E$37</f>
        <v>15.026178010471202</v>
      </c>
      <c r="J127" s="253">
        <f t="shared" si="376"/>
        <v>0</v>
      </c>
      <c r="K127" s="36">
        <f>RCF!E$7</f>
        <v>0</v>
      </c>
      <c r="L127" s="87">
        <f t="shared" si="307"/>
        <v>171.2</v>
      </c>
      <c r="M127" s="81">
        <f>RCF!E$9</f>
        <v>20.702000000000002</v>
      </c>
      <c r="N127" s="87">
        <f t="shared" si="394"/>
        <v>174</v>
      </c>
      <c r="O127" s="81">
        <f>RCF!E$11</f>
        <v>21.038</v>
      </c>
      <c r="P127" s="87">
        <f t="shared" si="395"/>
        <v>0</v>
      </c>
      <c r="Q127" s="36">
        <f>RCF!E$64</f>
        <v>0</v>
      </c>
      <c r="R127" s="147">
        <f t="shared" si="377"/>
        <v>121.8</v>
      </c>
      <c r="S127" s="36">
        <f>RCF!E$13</f>
        <v>14.738219895287957</v>
      </c>
      <c r="T127" s="87">
        <f t="shared" si="308"/>
        <v>112</v>
      </c>
      <c r="U127" s="36">
        <f>RCF!E$22</f>
        <v>13.544502617801045</v>
      </c>
      <c r="V127" s="87">
        <f t="shared" si="309"/>
        <v>125.2</v>
      </c>
      <c r="W127" s="36">
        <f>RCF!E$26</f>
        <v>15.136125654450263</v>
      </c>
      <c r="X127" s="87">
        <f t="shared" si="378"/>
        <v>192.3</v>
      </c>
      <c r="Y127" s="36">
        <f>RCF!E$33</f>
        <v>23.261132</v>
      </c>
      <c r="Z127" s="87">
        <f t="shared" si="310"/>
        <v>153.30000000000001</v>
      </c>
      <c r="AA127" s="36">
        <f>RCF!E$39</f>
        <v>18.539267015706805</v>
      </c>
      <c r="AB127" s="87">
        <f t="shared" si="311"/>
        <v>128.4</v>
      </c>
      <c r="AC127" s="36">
        <f>RCF!E$35</f>
        <v>15.534031413612563</v>
      </c>
      <c r="AD127" s="87">
        <f t="shared" si="312"/>
        <v>182.3</v>
      </c>
      <c r="AE127" s="81">
        <f>RCF!E$41</f>
        <v>22.044274999999999</v>
      </c>
    </row>
    <row r="128" spans="1:31" x14ac:dyDescent="0.3">
      <c r="A128" s="243">
        <v>4561</v>
      </c>
      <c r="B128" s="145" t="s">
        <v>37</v>
      </c>
      <c r="C128" s="146">
        <v>8.9</v>
      </c>
      <c r="D128" s="176">
        <f t="shared" si="264"/>
        <v>230.6</v>
      </c>
      <c r="E128" s="177">
        <f t="shared" si="313"/>
        <v>25.914954999999999</v>
      </c>
      <c r="F128" s="87">
        <f t="shared" si="374"/>
        <v>212.5</v>
      </c>
      <c r="G128" s="36">
        <f>RCF!H$5</f>
        <v>23.88</v>
      </c>
      <c r="H128" s="87">
        <f t="shared" si="375"/>
        <v>151.80000000000001</v>
      </c>
      <c r="I128" s="36">
        <f>RCF!H$37</f>
        <v>17.067164179104477</v>
      </c>
      <c r="J128" s="253">
        <f t="shared" si="376"/>
        <v>0</v>
      </c>
      <c r="K128" s="36">
        <f>RCF!J$7</f>
        <v>0</v>
      </c>
      <c r="L128" s="87">
        <f t="shared" si="307"/>
        <v>212.5</v>
      </c>
      <c r="M128" s="81">
        <f>RCF!H$9</f>
        <v>23.873999999999999</v>
      </c>
      <c r="N128" s="87">
        <f t="shared" si="394"/>
        <v>215.9</v>
      </c>
      <c r="O128" s="81">
        <f>RCF!H$11</f>
        <v>24.263000000000002</v>
      </c>
      <c r="P128" s="87">
        <f t="shared" si="395"/>
        <v>0</v>
      </c>
      <c r="Q128" s="36">
        <f>RCF!H$64</f>
        <v>0</v>
      </c>
      <c r="R128" s="147">
        <f t="shared" si="377"/>
        <v>150.80000000000001</v>
      </c>
      <c r="S128" s="36">
        <f>RCF!H$13</f>
        <v>16.947761194029852</v>
      </c>
      <c r="T128" s="87">
        <f t="shared" si="308"/>
        <v>208.7</v>
      </c>
      <c r="U128" s="36">
        <f>RCF!H$22</f>
        <v>23.44943820224719</v>
      </c>
      <c r="V128" s="87">
        <f t="shared" si="309"/>
        <v>233.4</v>
      </c>
      <c r="W128" s="36">
        <f>RCF!H$26</f>
        <v>26.224719101123593</v>
      </c>
      <c r="X128" s="87">
        <f t="shared" si="378"/>
        <v>238.7</v>
      </c>
      <c r="Y128" s="36">
        <f>RCF!H$33</f>
        <v>26.826979999999999</v>
      </c>
      <c r="Z128" s="87">
        <f t="shared" si="310"/>
        <v>190.2</v>
      </c>
      <c r="AA128" s="36">
        <f>RCF!H$39</f>
        <v>21.373134328358205</v>
      </c>
      <c r="AB128" s="87">
        <f t="shared" si="311"/>
        <v>158.80000000000001</v>
      </c>
      <c r="AC128" s="36">
        <f>RCF!H$35</f>
        <v>17.843283582089551</v>
      </c>
      <c r="AD128" s="87">
        <f t="shared" si="312"/>
        <v>230.6</v>
      </c>
      <c r="AE128" s="81">
        <f>RCF!H$41</f>
        <v>25.914954999999999</v>
      </c>
    </row>
    <row r="129" spans="1:31" x14ac:dyDescent="0.3">
      <c r="A129" s="243">
        <v>4563</v>
      </c>
      <c r="B129" s="145" t="s">
        <v>38</v>
      </c>
      <c r="C129" s="146">
        <v>5.2</v>
      </c>
      <c r="D129" s="176">
        <f t="shared" si="264"/>
        <v>134.80000000000001</v>
      </c>
      <c r="E129" s="177">
        <f t="shared" si="313"/>
        <v>25.914954999999999</v>
      </c>
      <c r="F129" s="87">
        <f t="shared" si="374"/>
        <v>124.2</v>
      </c>
      <c r="G129" s="36">
        <f>RCF!H$5</f>
        <v>23.88</v>
      </c>
      <c r="H129" s="87">
        <f t="shared" si="375"/>
        <v>88.7</v>
      </c>
      <c r="I129" s="36">
        <f>RCF!H$37</f>
        <v>17.067164179104477</v>
      </c>
      <c r="J129" s="253">
        <f t="shared" si="376"/>
        <v>0</v>
      </c>
      <c r="K129" s="36">
        <f>RCF!J$7</f>
        <v>0</v>
      </c>
      <c r="L129" s="87">
        <f t="shared" si="307"/>
        <v>124.1</v>
      </c>
      <c r="M129" s="81">
        <f>RCF!H$9</f>
        <v>23.873999999999999</v>
      </c>
      <c r="N129" s="87">
        <f t="shared" si="394"/>
        <v>126.2</v>
      </c>
      <c r="O129" s="81">
        <f>RCF!H$11</f>
        <v>24.263000000000002</v>
      </c>
      <c r="P129" s="87">
        <f t="shared" si="395"/>
        <v>0</v>
      </c>
      <c r="Q129" s="36">
        <f>RCF!H$64</f>
        <v>0</v>
      </c>
      <c r="R129" s="147">
        <f t="shared" si="377"/>
        <v>88.1</v>
      </c>
      <c r="S129" s="36">
        <f>RCF!H$13</f>
        <v>16.947761194029852</v>
      </c>
      <c r="T129" s="87">
        <f t="shared" si="308"/>
        <v>121.9</v>
      </c>
      <c r="U129" s="36">
        <f>RCF!H$22</f>
        <v>23.44943820224719</v>
      </c>
      <c r="V129" s="87">
        <f t="shared" si="309"/>
        <v>136.4</v>
      </c>
      <c r="W129" s="36">
        <f>RCF!H$26</f>
        <v>26.224719101123593</v>
      </c>
      <c r="X129" s="87">
        <f t="shared" si="378"/>
        <v>139.5</v>
      </c>
      <c r="Y129" s="36">
        <f>RCF!H$33</f>
        <v>26.826979999999999</v>
      </c>
      <c r="Z129" s="87">
        <f t="shared" si="310"/>
        <v>111.1</v>
      </c>
      <c r="AA129" s="36">
        <f>RCF!H$39</f>
        <v>21.373134328358205</v>
      </c>
      <c r="AB129" s="87">
        <f t="shared" si="311"/>
        <v>92.7</v>
      </c>
      <c r="AC129" s="36">
        <f>RCF!H$35</f>
        <v>17.843283582089551</v>
      </c>
      <c r="AD129" s="87">
        <f t="shared" si="312"/>
        <v>134.80000000000001</v>
      </c>
      <c r="AE129" s="81">
        <f>RCF!H$41</f>
        <v>25.914954999999999</v>
      </c>
    </row>
    <row r="130" spans="1:31" ht="27.6" x14ac:dyDescent="0.3">
      <c r="A130" s="236">
        <v>5007</v>
      </c>
      <c r="B130" s="145" t="s">
        <v>178</v>
      </c>
      <c r="C130" s="146">
        <v>18</v>
      </c>
      <c r="D130" s="87">
        <f t="shared" si="264"/>
        <v>1064.2</v>
      </c>
      <c r="E130" s="81">
        <f>RCF!$C$47</f>
        <v>59.121481687424989</v>
      </c>
      <c r="F130" s="87">
        <f t="shared" si="374"/>
        <v>334.1</v>
      </c>
      <c r="G130" s="81">
        <f>RCF!C5</f>
        <v>18.559999999999999</v>
      </c>
      <c r="H130" s="87">
        <f t="shared" si="375"/>
        <v>350.7</v>
      </c>
      <c r="I130" s="36">
        <f>RCF!C$37</f>
        <v>19.486666666666668</v>
      </c>
      <c r="J130" s="253">
        <f t="shared" si="376"/>
        <v>347.4</v>
      </c>
      <c r="K130" s="36">
        <f>RCF!C$7</f>
        <v>19.303333333333335</v>
      </c>
      <c r="L130" s="87">
        <f t="shared" si="307"/>
        <v>331.6</v>
      </c>
      <c r="M130" s="36">
        <f>RCF!C$9</f>
        <v>18.422999999999998</v>
      </c>
      <c r="N130" s="87">
        <f t="shared" si="394"/>
        <v>337</v>
      </c>
      <c r="O130" s="36">
        <f>RCF!C$11</f>
        <v>18.722000000000001</v>
      </c>
      <c r="P130" s="87">
        <f t="shared" si="395"/>
        <v>356.8</v>
      </c>
      <c r="Q130" s="36">
        <f>RCF!C$64</f>
        <v>19.826666666666664</v>
      </c>
      <c r="R130" s="147">
        <f t="shared" si="377"/>
        <v>344.4</v>
      </c>
      <c r="S130" s="36">
        <f>RCF!C$13</f>
        <v>19.133333333333333</v>
      </c>
      <c r="T130" s="87">
        <f t="shared" si="308"/>
        <v>316.3</v>
      </c>
      <c r="U130" s="36">
        <f>RCF!C$22</f>
        <v>17.57</v>
      </c>
      <c r="V130" s="87">
        <f t="shared" si="309"/>
        <v>353.5</v>
      </c>
      <c r="W130" s="36">
        <f>RCF!C$26</f>
        <v>19.636666666666667</v>
      </c>
      <c r="X130" s="87">
        <f t="shared" si="378"/>
        <v>362.1</v>
      </c>
      <c r="Y130" s="36">
        <f>RCF!C$33</f>
        <v>20.121274</v>
      </c>
      <c r="Z130" s="87">
        <f t="shared" si="310"/>
        <v>341</v>
      </c>
      <c r="AA130" s="36">
        <f>RCF!C$39</f>
        <v>18.946666666666665</v>
      </c>
      <c r="AB130" s="87">
        <f t="shared" si="311"/>
        <v>471.4</v>
      </c>
      <c r="AC130" s="36">
        <f>RCF!C$35</f>
        <v>26.19</v>
      </c>
      <c r="AD130" s="87">
        <f t="shared" si="312"/>
        <v>343.2</v>
      </c>
      <c r="AE130" s="81">
        <f>RCF!C$41</f>
        <v>19.068114999999999</v>
      </c>
    </row>
    <row r="131" spans="1:31" x14ac:dyDescent="0.3">
      <c r="A131" s="244">
        <v>5100</v>
      </c>
      <c r="B131" s="145" t="s">
        <v>179</v>
      </c>
      <c r="C131" s="146">
        <v>50</v>
      </c>
      <c r="D131" s="178">
        <f t="shared" si="264"/>
        <v>926.4</v>
      </c>
      <c r="E131" s="177">
        <f>AE131</f>
        <v>18.527850000000001</v>
      </c>
      <c r="F131" s="87">
        <f t="shared" si="374"/>
        <v>906</v>
      </c>
      <c r="G131" s="36">
        <f>RCF!F$5</f>
        <v>18.12</v>
      </c>
      <c r="H131" s="87">
        <f t="shared" si="375"/>
        <v>929</v>
      </c>
      <c r="I131" s="36">
        <f>RCF!F$37</f>
        <v>18.579999999999998</v>
      </c>
      <c r="J131" s="253">
        <f t="shared" si="376"/>
        <v>920.1</v>
      </c>
      <c r="K131" s="36">
        <f>RCF!F$7</f>
        <v>18.402000000000001</v>
      </c>
      <c r="L131" s="87">
        <f t="shared" si="307"/>
        <v>878.2</v>
      </c>
      <c r="M131" s="81">
        <f>RCF!F$9</f>
        <v>17.562999999999999</v>
      </c>
      <c r="N131" s="87">
        <f t="shared" si="394"/>
        <v>67</v>
      </c>
      <c r="O131" s="81">
        <f>RCF!F$11</f>
        <v>1.3409722222222222</v>
      </c>
      <c r="P131" s="87">
        <f t="shared" si="395"/>
        <v>944.8</v>
      </c>
      <c r="Q131" s="36">
        <f>RCF!F$64</f>
        <v>18.896000000000001</v>
      </c>
      <c r="R131" s="147">
        <f t="shared" si="377"/>
        <v>911.8</v>
      </c>
      <c r="S131" s="36">
        <f>RCF!F$13</f>
        <v>18.236000000000001</v>
      </c>
      <c r="T131" s="87">
        <f t="shared" si="308"/>
        <v>837.4</v>
      </c>
      <c r="U131" s="36">
        <f>RCF!F$22</f>
        <v>16.748000000000001</v>
      </c>
      <c r="V131" s="87">
        <f t="shared" si="309"/>
        <v>936.1</v>
      </c>
      <c r="W131" s="36">
        <f>RCF!F$26</f>
        <v>18.722000000000001</v>
      </c>
      <c r="X131" s="87">
        <f t="shared" si="378"/>
        <v>958.9</v>
      </c>
      <c r="Y131" s="36">
        <f>RCF!F$33</f>
        <v>19.179939999999998</v>
      </c>
      <c r="Z131" s="87">
        <f t="shared" si="310"/>
        <v>920.8</v>
      </c>
      <c r="AA131" s="36">
        <f>RCF!F$39</f>
        <v>18.416</v>
      </c>
      <c r="AB131" s="87">
        <f t="shared" si="311"/>
        <v>1247.8</v>
      </c>
      <c r="AC131" s="36">
        <f>RCF!F$35</f>
        <v>24.956</v>
      </c>
      <c r="AD131" s="87">
        <f t="shared" si="312"/>
        <v>926.4</v>
      </c>
      <c r="AE131" s="81">
        <f>RCF!F$41</f>
        <v>18.527850000000001</v>
      </c>
    </row>
    <row r="132" spans="1:31" x14ac:dyDescent="0.3">
      <c r="A132" s="244">
        <v>5102</v>
      </c>
      <c r="B132" s="145" t="s">
        <v>226</v>
      </c>
      <c r="C132" s="146">
        <v>50</v>
      </c>
      <c r="D132" s="178">
        <f t="shared" ref="D132" si="396">ROUND(E132*C132,1)</f>
        <v>926.4</v>
      </c>
      <c r="E132" s="177">
        <f>AE132</f>
        <v>18.527850000000001</v>
      </c>
      <c r="F132" s="87">
        <f t="shared" ref="F132" si="397">ROUND(G132*$C132,1)</f>
        <v>906</v>
      </c>
      <c r="G132" s="36">
        <f>RCF!F$5</f>
        <v>18.12</v>
      </c>
      <c r="H132" s="87">
        <f t="shared" ref="H132" si="398">ROUNDDOWN(I132*C132,1)</f>
        <v>929</v>
      </c>
      <c r="I132" s="36">
        <f>RCF!F$37</f>
        <v>18.579999999999998</v>
      </c>
      <c r="J132" s="253">
        <f t="shared" ref="J132" si="399">ROUNDDOWN(C132*K132,1)</f>
        <v>920.1</v>
      </c>
      <c r="K132" s="36">
        <f>RCF!F$7</f>
        <v>18.402000000000001</v>
      </c>
      <c r="L132" s="87">
        <f t="shared" ref="L132" si="400">ROUND(M132*$C132,1)</f>
        <v>878.2</v>
      </c>
      <c r="M132" s="81">
        <f>RCF!F$9</f>
        <v>17.562999999999999</v>
      </c>
      <c r="N132" s="87">
        <f t="shared" ref="N132" si="401">ROUND(O132*$C132,1)</f>
        <v>67</v>
      </c>
      <c r="O132" s="81">
        <f>RCF!F$11</f>
        <v>1.3409722222222222</v>
      </c>
      <c r="P132" s="87">
        <f t="shared" ref="P132" si="402">ROUNDDOWN(Q132*C132,1)</f>
        <v>944.8</v>
      </c>
      <c r="Q132" s="36">
        <f>RCF!F$64</f>
        <v>18.896000000000001</v>
      </c>
      <c r="R132" s="147">
        <f t="shared" ref="R132" si="403">ROUNDDOWN(C132*S132,1)</f>
        <v>911.8</v>
      </c>
      <c r="S132" s="36">
        <f>RCF!F$13</f>
        <v>18.236000000000001</v>
      </c>
      <c r="T132" s="87">
        <f t="shared" ref="T132" si="404">ROUND(U132*C132,1)</f>
        <v>837.4</v>
      </c>
      <c r="U132" s="36">
        <f>RCF!F$22</f>
        <v>16.748000000000001</v>
      </c>
      <c r="V132" s="87">
        <f t="shared" ref="V132" si="405">ROUND(W132*C132,1)</f>
        <v>936.1</v>
      </c>
      <c r="W132" s="36">
        <f>RCF!F$26</f>
        <v>18.722000000000001</v>
      </c>
      <c r="X132" s="87">
        <f t="shared" ref="X132" si="406">ROUNDDOWN(Y132*C132,1)</f>
        <v>958.9</v>
      </c>
      <c r="Y132" s="36">
        <f>RCF!F$33</f>
        <v>19.179939999999998</v>
      </c>
      <c r="Z132" s="87">
        <f t="shared" ref="Z132" si="407">ROUNDDOWN(AA132*C132,1)</f>
        <v>920.8</v>
      </c>
      <c r="AA132" s="36">
        <f>RCF!F$39</f>
        <v>18.416</v>
      </c>
      <c r="AB132" s="87">
        <f t="shared" ref="AB132" si="408">ROUNDDOWN(C132*AC132,1)</f>
        <v>1247.8</v>
      </c>
      <c r="AC132" s="36">
        <f>RCF!F$35</f>
        <v>24.956</v>
      </c>
      <c r="AD132" s="87">
        <f t="shared" ref="AD132" si="409">ROUND(AE132*C132,1)</f>
        <v>926.4</v>
      </c>
      <c r="AE132" s="81">
        <f>RCF!F$41</f>
        <v>18.527850000000001</v>
      </c>
    </row>
    <row r="133" spans="1:31" x14ac:dyDescent="0.3">
      <c r="A133" s="244">
        <v>5103</v>
      </c>
      <c r="B133" s="145" t="s">
        <v>39</v>
      </c>
      <c r="C133" s="146">
        <v>50</v>
      </c>
      <c r="D133" s="178">
        <f t="shared" si="264"/>
        <v>926.4</v>
      </c>
      <c r="E133" s="177">
        <f>AE133</f>
        <v>18.527850000000001</v>
      </c>
      <c r="F133" s="87">
        <f t="shared" si="374"/>
        <v>906</v>
      </c>
      <c r="G133" s="36">
        <f>RCF!F$5</f>
        <v>18.12</v>
      </c>
      <c r="H133" s="87">
        <f t="shared" si="375"/>
        <v>929</v>
      </c>
      <c r="I133" s="36">
        <f>RCF!F$37</f>
        <v>18.579999999999998</v>
      </c>
      <c r="J133" s="253">
        <f t="shared" si="376"/>
        <v>920.1</v>
      </c>
      <c r="K133" s="36">
        <f>RCF!F$7</f>
        <v>18.402000000000001</v>
      </c>
      <c r="L133" s="87">
        <f t="shared" si="307"/>
        <v>878.2</v>
      </c>
      <c r="M133" s="81">
        <f>RCF!F$9</f>
        <v>17.562999999999999</v>
      </c>
      <c r="N133" s="87">
        <f t="shared" si="394"/>
        <v>67</v>
      </c>
      <c r="O133" s="81">
        <f>RCF!F$11</f>
        <v>1.3409722222222222</v>
      </c>
      <c r="P133" s="87">
        <f t="shared" si="395"/>
        <v>944.8</v>
      </c>
      <c r="Q133" s="36">
        <f>RCF!F$64</f>
        <v>18.896000000000001</v>
      </c>
      <c r="R133" s="147">
        <f t="shared" si="377"/>
        <v>911.8</v>
      </c>
      <c r="S133" s="36">
        <f>RCF!F$13</f>
        <v>18.236000000000001</v>
      </c>
      <c r="T133" s="87">
        <f t="shared" si="308"/>
        <v>837.4</v>
      </c>
      <c r="U133" s="36">
        <f>RCF!F$22</f>
        <v>16.748000000000001</v>
      </c>
      <c r="V133" s="87">
        <f t="shared" si="309"/>
        <v>936.1</v>
      </c>
      <c r="W133" s="36">
        <f>RCF!F$26</f>
        <v>18.722000000000001</v>
      </c>
      <c r="X133" s="87">
        <f t="shared" si="378"/>
        <v>958.9</v>
      </c>
      <c r="Y133" s="36">
        <f>RCF!F$33</f>
        <v>19.179939999999998</v>
      </c>
      <c r="Z133" s="87">
        <f t="shared" si="310"/>
        <v>920.8</v>
      </c>
      <c r="AA133" s="36">
        <f>RCF!F$39</f>
        <v>18.416</v>
      </c>
      <c r="AB133" s="87">
        <f t="shared" si="311"/>
        <v>1247.8</v>
      </c>
      <c r="AC133" s="36">
        <f>RCF!F$35</f>
        <v>24.956</v>
      </c>
      <c r="AD133" s="87">
        <f t="shared" si="312"/>
        <v>926.4</v>
      </c>
      <c r="AE133" s="81">
        <f>RCF!F$41</f>
        <v>18.527850000000001</v>
      </c>
    </row>
    <row r="134" spans="1:31" x14ac:dyDescent="0.3">
      <c r="A134" s="236">
        <v>7000</v>
      </c>
      <c r="B134" s="145" t="s">
        <v>227</v>
      </c>
      <c r="C134" s="146">
        <v>15</v>
      </c>
      <c r="D134" s="87">
        <f t="shared" ref="D134" si="410">ROUND(E134*C134,1)</f>
        <v>886.8</v>
      </c>
      <c r="E134" s="81">
        <f>RCF!$C$47</f>
        <v>59.121481687424989</v>
      </c>
      <c r="F134" s="87">
        <f t="shared" ref="F134" si="411">ROUND(G134*$C134,1)</f>
        <v>278.39999999999998</v>
      </c>
      <c r="G134" s="81">
        <f>RCF!C$5</f>
        <v>18.559999999999999</v>
      </c>
      <c r="H134" s="87">
        <f t="shared" ref="H134" si="412">ROUNDDOWN(I134*C134,1)</f>
        <v>292.3</v>
      </c>
      <c r="I134" s="36">
        <f>RCF!C$37</f>
        <v>19.486666666666668</v>
      </c>
      <c r="J134" s="253">
        <f t="shared" ref="J134" si="413">ROUNDDOWN(C134*K134,1)</f>
        <v>292.3</v>
      </c>
      <c r="K134" s="36">
        <f>RCF!C$37</f>
        <v>19.486666666666668</v>
      </c>
      <c r="L134" s="87">
        <f t="shared" ref="L134" si="414">ROUND(M134*$C134,1)</f>
        <v>276.3</v>
      </c>
      <c r="M134" s="36">
        <f>RCF!C$9</f>
        <v>18.422999999999998</v>
      </c>
      <c r="N134" s="87">
        <f t="shared" ref="N134" si="415">ROUND(O134*$C134,1)</f>
        <v>280.8</v>
      </c>
      <c r="O134" s="36">
        <f>RCF!C$11</f>
        <v>18.722000000000001</v>
      </c>
      <c r="P134" s="87">
        <f t="shared" ref="P134" si="416">ROUNDDOWN(Q134*C134,1)</f>
        <v>297.39999999999998</v>
      </c>
      <c r="Q134" s="36">
        <f>RCF!C$64</f>
        <v>19.826666666666664</v>
      </c>
      <c r="R134" s="147">
        <f t="shared" ref="R134" si="417">ROUNDDOWN(C134*S134,1)</f>
        <v>287</v>
      </c>
      <c r="S134" s="36">
        <f>RCF!C$13</f>
        <v>19.133333333333333</v>
      </c>
      <c r="T134" s="87">
        <f t="shared" ref="T134" si="418">ROUND(U134*C134,1)</f>
        <v>263.60000000000002</v>
      </c>
      <c r="U134" s="36">
        <f>RCF!C$22</f>
        <v>17.57</v>
      </c>
      <c r="V134" s="87">
        <f t="shared" ref="V134" si="419">ROUND(W134*C134,1)</f>
        <v>294.60000000000002</v>
      </c>
      <c r="W134" s="36">
        <f>RCF!C$26</f>
        <v>19.636666666666667</v>
      </c>
      <c r="X134" s="87">
        <f t="shared" ref="X134" si="420">ROUNDDOWN(Y134*C134,1)</f>
        <v>301.8</v>
      </c>
      <c r="Y134" s="36">
        <f>RCF!C$33</f>
        <v>20.121274</v>
      </c>
      <c r="Z134" s="87">
        <f t="shared" ref="Z134" si="421">ROUNDDOWN(AA134*C134,1)</f>
        <v>284.2</v>
      </c>
      <c r="AA134" s="36">
        <f>RCF!C$39</f>
        <v>18.946666666666665</v>
      </c>
      <c r="AB134" s="87">
        <f t="shared" ref="AB134" si="422">ROUNDDOWN(C134*AC134,1)</f>
        <v>392.8</v>
      </c>
      <c r="AC134" s="36">
        <f>RCF!C$35</f>
        <v>26.19</v>
      </c>
      <c r="AD134" s="87">
        <f t="shared" ref="AD134" si="423">ROUND(AE134*C134,1)</f>
        <v>286</v>
      </c>
      <c r="AE134" s="81">
        <f>RCF!C$41</f>
        <v>19.068114999999999</v>
      </c>
    </row>
    <row r="135" spans="1:31" x14ac:dyDescent="0.3">
      <c r="A135" s="236">
        <v>7010</v>
      </c>
      <c r="B135" s="145" t="s">
        <v>228</v>
      </c>
      <c r="C135" s="146">
        <v>30</v>
      </c>
      <c r="D135" s="87">
        <f t="shared" ref="D135" si="424">ROUND(E135*C135,1)</f>
        <v>1773.6</v>
      </c>
      <c r="E135" s="81">
        <f>RCF!$C$47</f>
        <v>59.121481687424989</v>
      </c>
      <c r="F135" s="87">
        <f t="shared" ref="F135" si="425">ROUND(G135*$C135,1)</f>
        <v>556.79999999999995</v>
      </c>
      <c r="G135" s="81">
        <f>RCF!C$5</f>
        <v>18.559999999999999</v>
      </c>
      <c r="H135" s="87">
        <f t="shared" ref="H135" si="426">ROUNDDOWN(I135*C135,1)</f>
        <v>584.6</v>
      </c>
      <c r="I135" s="36">
        <f>RCF!C$37</f>
        <v>19.486666666666668</v>
      </c>
      <c r="J135" s="253">
        <f t="shared" ref="J135" si="427">ROUNDDOWN(C135*K135,1)</f>
        <v>584.6</v>
      </c>
      <c r="K135" s="36">
        <f>RCF!C$37</f>
        <v>19.486666666666668</v>
      </c>
      <c r="L135" s="87">
        <f t="shared" ref="L135" si="428">ROUND(M135*$C135,1)</f>
        <v>552.70000000000005</v>
      </c>
      <c r="M135" s="36">
        <f>RCF!C$9</f>
        <v>18.422999999999998</v>
      </c>
      <c r="N135" s="87">
        <f t="shared" ref="N135" si="429">ROUND(O135*$C135,1)</f>
        <v>561.70000000000005</v>
      </c>
      <c r="O135" s="36">
        <f>RCF!C$11</f>
        <v>18.722000000000001</v>
      </c>
      <c r="P135" s="87">
        <f t="shared" ref="P135" si="430">ROUNDDOWN(Q135*C135,1)</f>
        <v>594.79999999999995</v>
      </c>
      <c r="Q135" s="36">
        <f>RCF!C$64</f>
        <v>19.826666666666664</v>
      </c>
      <c r="R135" s="147">
        <f t="shared" ref="R135" si="431">ROUNDDOWN(C135*S135,1)</f>
        <v>574</v>
      </c>
      <c r="S135" s="36">
        <f>RCF!C$13</f>
        <v>19.133333333333333</v>
      </c>
      <c r="T135" s="87">
        <f t="shared" ref="T135" si="432">ROUND(U135*C135,1)</f>
        <v>527.1</v>
      </c>
      <c r="U135" s="36">
        <f>RCF!C$22</f>
        <v>17.57</v>
      </c>
      <c r="V135" s="87">
        <f t="shared" ref="V135" si="433">ROUND(W135*C135,1)</f>
        <v>589.1</v>
      </c>
      <c r="W135" s="36">
        <f>RCF!C$26</f>
        <v>19.636666666666667</v>
      </c>
      <c r="X135" s="87">
        <f t="shared" ref="X135" si="434">ROUNDDOWN(Y135*C135,1)</f>
        <v>603.6</v>
      </c>
      <c r="Y135" s="36">
        <f>RCF!C$33</f>
        <v>20.121274</v>
      </c>
      <c r="Z135" s="87">
        <f t="shared" ref="Z135" si="435">ROUNDDOWN(AA135*C135,1)</f>
        <v>568.4</v>
      </c>
      <c r="AA135" s="36">
        <f>RCF!C$39</f>
        <v>18.946666666666665</v>
      </c>
      <c r="AB135" s="87">
        <f t="shared" ref="AB135" si="436">ROUNDDOWN(C135*AC135,1)</f>
        <v>785.7</v>
      </c>
      <c r="AC135" s="36">
        <f>RCF!C$35</f>
        <v>26.19</v>
      </c>
      <c r="AD135" s="87">
        <f t="shared" ref="AD135" si="437">ROUND(AE135*C135,1)</f>
        <v>572</v>
      </c>
      <c r="AE135" s="81">
        <f>RCF!C$41</f>
        <v>19.068114999999999</v>
      </c>
    </row>
    <row r="136" spans="1:31" ht="69" x14ac:dyDescent="0.3">
      <c r="A136" s="236">
        <v>7061</v>
      </c>
      <c r="B136" s="145" t="s">
        <v>132</v>
      </c>
      <c r="C136" s="146">
        <v>11.9</v>
      </c>
      <c r="D136" s="87">
        <f t="shared" si="264"/>
        <v>703.5</v>
      </c>
      <c r="E136" s="81">
        <f>RCF!$C$47</f>
        <v>59.121481687424989</v>
      </c>
      <c r="F136" s="87">
        <f t="shared" si="374"/>
        <v>220.9</v>
      </c>
      <c r="G136" s="81">
        <f>RCF!C$5</f>
        <v>18.559999999999999</v>
      </c>
      <c r="H136" s="87">
        <f t="shared" si="375"/>
        <v>231.8</v>
      </c>
      <c r="I136" s="36">
        <f>RCF!C$37</f>
        <v>19.486666666666668</v>
      </c>
      <c r="J136" s="253">
        <f t="shared" si="376"/>
        <v>231.8</v>
      </c>
      <c r="K136" s="36">
        <f>RCF!C$37</f>
        <v>19.486666666666668</v>
      </c>
      <c r="L136" s="87">
        <f t="shared" si="307"/>
        <v>219.2</v>
      </c>
      <c r="M136" s="36">
        <f>RCF!C$9</f>
        <v>18.422999999999998</v>
      </c>
      <c r="N136" s="87">
        <f t="shared" si="394"/>
        <v>222.8</v>
      </c>
      <c r="O136" s="36">
        <f>RCF!C$11</f>
        <v>18.722000000000001</v>
      </c>
      <c r="P136" s="87">
        <f t="shared" si="395"/>
        <v>235.9</v>
      </c>
      <c r="Q136" s="36">
        <f>RCF!C$64</f>
        <v>19.826666666666664</v>
      </c>
      <c r="R136" s="147">
        <f t="shared" si="377"/>
        <v>227.6</v>
      </c>
      <c r="S136" s="36">
        <f>RCF!C$13</f>
        <v>19.133333333333333</v>
      </c>
      <c r="T136" s="87">
        <f t="shared" si="308"/>
        <v>209.1</v>
      </c>
      <c r="U136" s="36">
        <f>RCF!C$22</f>
        <v>17.57</v>
      </c>
      <c r="V136" s="87">
        <f t="shared" si="309"/>
        <v>233.7</v>
      </c>
      <c r="W136" s="36">
        <f>RCF!C$26</f>
        <v>19.636666666666667</v>
      </c>
      <c r="X136" s="87">
        <f t="shared" si="378"/>
        <v>239.4</v>
      </c>
      <c r="Y136" s="36">
        <f>RCF!C$33</f>
        <v>20.121274</v>
      </c>
      <c r="Z136" s="87">
        <f t="shared" si="310"/>
        <v>225.4</v>
      </c>
      <c r="AA136" s="36">
        <f>RCF!C$39</f>
        <v>18.946666666666665</v>
      </c>
      <c r="AB136" s="87">
        <f t="shared" si="311"/>
        <v>311.60000000000002</v>
      </c>
      <c r="AC136" s="36">
        <f>RCF!C$35</f>
        <v>26.19</v>
      </c>
      <c r="AD136" s="87">
        <f t="shared" si="312"/>
        <v>226.9</v>
      </c>
      <c r="AE136" s="81">
        <f>RCF!C$41</f>
        <v>19.068114999999999</v>
      </c>
    </row>
    <row r="137" spans="1:31" ht="69" x14ac:dyDescent="0.3">
      <c r="A137" s="236">
        <v>7062</v>
      </c>
      <c r="B137" s="145" t="s">
        <v>133</v>
      </c>
      <c r="C137" s="146">
        <v>18</v>
      </c>
      <c r="D137" s="87">
        <f t="shared" si="264"/>
        <v>1064.2</v>
      </c>
      <c r="E137" s="81">
        <f>RCF!$C$47</f>
        <v>59.121481687424989</v>
      </c>
      <c r="F137" s="87">
        <f t="shared" si="374"/>
        <v>334.1</v>
      </c>
      <c r="G137" s="81">
        <f>RCF!C$5</f>
        <v>18.559999999999999</v>
      </c>
      <c r="H137" s="87">
        <f t="shared" si="375"/>
        <v>350.7</v>
      </c>
      <c r="I137" s="36">
        <f>RCF!C$37</f>
        <v>19.486666666666668</v>
      </c>
      <c r="J137" s="253">
        <f t="shared" si="376"/>
        <v>350.7</v>
      </c>
      <c r="K137" s="36">
        <f>RCF!C$37</f>
        <v>19.486666666666668</v>
      </c>
      <c r="L137" s="87">
        <f t="shared" si="307"/>
        <v>331.6</v>
      </c>
      <c r="M137" s="36">
        <f>RCF!C$9</f>
        <v>18.422999999999998</v>
      </c>
      <c r="N137" s="87">
        <f t="shared" si="394"/>
        <v>337</v>
      </c>
      <c r="O137" s="36">
        <f>RCF!C$11</f>
        <v>18.722000000000001</v>
      </c>
      <c r="P137" s="87">
        <f t="shared" si="395"/>
        <v>356.8</v>
      </c>
      <c r="Q137" s="36">
        <f>RCF!C$64</f>
        <v>19.826666666666664</v>
      </c>
      <c r="R137" s="147">
        <f t="shared" si="377"/>
        <v>344.4</v>
      </c>
      <c r="S137" s="36">
        <f>RCF!C$13</f>
        <v>19.133333333333333</v>
      </c>
      <c r="T137" s="87">
        <f t="shared" si="308"/>
        <v>316.3</v>
      </c>
      <c r="U137" s="36">
        <f>RCF!C$22</f>
        <v>17.57</v>
      </c>
      <c r="V137" s="87">
        <f t="shared" si="309"/>
        <v>353.5</v>
      </c>
      <c r="W137" s="36">
        <f>RCF!C$26</f>
        <v>19.636666666666667</v>
      </c>
      <c r="X137" s="87">
        <f t="shared" si="378"/>
        <v>362.1</v>
      </c>
      <c r="Y137" s="36">
        <f>RCF!C$33</f>
        <v>20.121274</v>
      </c>
      <c r="Z137" s="87">
        <f t="shared" si="310"/>
        <v>341</v>
      </c>
      <c r="AA137" s="36">
        <f>RCF!C$39</f>
        <v>18.946666666666665</v>
      </c>
      <c r="AB137" s="87">
        <f t="shared" si="311"/>
        <v>471.4</v>
      </c>
      <c r="AC137" s="36">
        <f>RCF!C$35</f>
        <v>26.19</v>
      </c>
      <c r="AD137" s="87">
        <f t="shared" si="312"/>
        <v>343.2</v>
      </c>
      <c r="AE137" s="81">
        <f>RCF!C$41</f>
        <v>19.068114999999999</v>
      </c>
    </row>
    <row r="138" spans="1:31" ht="82.8" x14ac:dyDescent="0.3">
      <c r="A138" s="236">
        <v>7063</v>
      </c>
      <c r="B138" s="145" t="s">
        <v>134</v>
      </c>
      <c r="C138" s="146">
        <v>34</v>
      </c>
      <c r="D138" s="87">
        <f t="shared" si="264"/>
        <v>2010.1</v>
      </c>
      <c r="E138" s="81">
        <f>RCF!$C$47</f>
        <v>59.121481687424989</v>
      </c>
      <c r="F138" s="87">
        <f t="shared" si="374"/>
        <v>631</v>
      </c>
      <c r="G138" s="81">
        <f>RCF!C$5</f>
        <v>18.559999999999999</v>
      </c>
      <c r="H138" s="87">
        <f t="shared" si="375"/>
        <v>662.5</v>
      </c>
      <c r="I138" s="36">
        <f>RCF!C$37</f>
        <v>19.486666666666668</v>
      </c>
      <c r="J138" s="253">
        <f t="shared" si="376"/>
        <v>662.5</v>
      </c>
      <c r="K138" s="36">
        <f>RCF!C$37</f>
        <v>19.486666666666668</v>
      </c>
      <c r="L138" s="87">
        <f t="shared" si="307"/>
        <v>626.4</v>
      </c>
      <c r="M138" s="36">
        <f>RCF!C$9</f>
        <v>18.422999999999998</v>
      </c>
      <c r="N138" s="87">
        <f t="shared" si="394"/>
        <v>636.5</v>
      </c>
      <c r="O138" s="36">
        <f>RCF!C$11</f>
        <v>18.722000000000001</v>
      </c>
      <c r="P138" s="87">
        <f t="shared" si="395"/>
        <v>674.1</v>
      </c>
      <c r="Q138" s="36">
        <f>RCF!C$64</f>
        <v>19.826666666666664</v>
      </c>
      <c r="R138" s="147">
        <f t="shared" si="377"/>
        <v>650.5</v>
      </c>
      <c r="S138" s="36">
        <f>RCF!C$13</f>
        <v>19.133333333333333</v>
      </c>
      <c r="T138" s="87">
        <f t="shared" si="308"/>
        <v>597.4</v>
      </c>
      <c r="U138" s="36">
        <f>RCF!C$22</f>
        <v>17.57</v>
      </c>
      <c r="V138" s="87">
        <f t="shared" si="309"/>
        <v>667.6</v>
      </c>
      <c r="W138" s="36">
        <f>RCF!C$26</f>
        <v>19.636666666666667</v>
      </c>
      <c r="X138" s="87">
        <f t="shared" si="378"/>
        <v>684.1</v>
      </c>
      <c r="Y138" s="36">
        <f>RCF!C$33</f>
        <v>20.121274</v>
      </c>
      <c r="Z138" s="87">
        <f t="shared" si="310"/>
        <v>644.1</v>
      </c>
      <c r="AA138" s="36">
        <f>RCF!C$39</f>
        <v>18.946666666666665</v>
      </c>
      <c r="AB138" s="87">
        <f t="shared" si="311"/>
        <v>890.4</v>
      </c>
      <c r="AC138" s="36">
        <f>RCF!C$35</f>
        <v>26.19</v>
      </c>
      <c r="AD138" s="87">
        <f t="shared" si="312"/>
        <v>648.29999999999995</v>
      </c>
      <c r="AE138" s="81">
        <f>RCF!C$41</f>
        <v>19.068114999999999</v>
      </c>
    </row>
    <row r="139" spans="1:31" ht="96.6" x14ac:dyDescent="0.3">
      <c r="A139" s="236">
        <v>7064</v>
      </c>
      <c r="B139" s="145" t="s">
        <v>135</v>
      </c>
      <c r="C139" s="146">
        <v>49.8</v>
      </c>
      <c r="D139" s="87">
        <f t="shared" si="264"/>
        <v>2944.2</v>
      </c>
      <c r="E139" s="81">
        <f>RCF!$C$47</f>
        <v>59.121481687424989</v>
      </c>
      <c r="F139" s="87">
        <f t="shared" si="374"/>
        <v>924.3</v>
      </c>
      <c r="G139" s="81">
        <f>RCF!C$5</f>
        <v>18.559999999999999</v>
      </c>
      <c r="H139" s="87">
        <f t="shared" si="375"/>
        <v>970.4</v>
      </c>
      <c r="I139" s="36">
        <f>RCF!C$37</f>
        <v>19.486666666666668</v>
      </c>
      <c r="J139" s="253">
        <f t="shared" si="376"/>
        <v>970.4</v>
      </c>
      <c r="K139" s="36">
        <f>RCF!C$37</f>
        <v>19.486666666666668</v>
      </c>
      <c r="L139" s="87">
        <f t="shared" si="307"/>
        <v>917.5</v>
      </c>
      <c r="M139" s="36">
        <f>RCF!C$9</f>
        <v>18.422999999999998</v>
      </c>
      <c r="N139" s="87">
        <f t="shared" si="394"/>
        <v>932.4</v>
      </c>
      <c r="O139" s="36">
        <f>RCF!C$11</f>
        <v>18.722000000000001</v>
      </c>
      <c r="P139" s="87">
        <f t="shared" si="395"/>
        <v>987.3</v>
      </c>
      <c r="Q139" s="36">
        <f>RCF!C$64</f>
        <v>19.826666666666664</v>
      </c>
      <c r="R139" s="147">
        <f>ROUNDDOWN(C139*S139,1)</f>
        <v>952.8</v>
      </c>
      <c r="S139" s="36">
        <f>RCF!C$13</f>
        <v>19.133333333333333</v>
      </c>
      <c r="T139" s="87">
        <f t="shared" si="308"/>
        <v>875</v>
      </c>
      <c r="U139" s="36">
        <f>RCF!C$22</f>
        <v>17.57</v>
      </c>
      <c r="V139" s="87">
        <f t="shared" si="309"/>
        <v>977.9</v>
      </c>
      <c r="W139" s="36">
        <f>RCF!C$26</f>
        <v>19.636666666666667</v>
      </c>
      <c r="X139" s="87">
        <f t="shared" si="378"/>
        <v>1002</v>
      </c>
      <c r="Y139" s="36">
        <f>RCF!C$33</f>
        <v>20.121274</v>
      </c>
      <c r="Z139" s="87">
        <f t="shared" si="310"/>
        <v>943.5</v>
      </c>
      <c r="AA139" s="36">
        <f>RCF!C$39</f>
        <v>18.946666666666665</v>
      </c>
      <c r="AB139" s="87">
        <f t="shared" si="311"/>
        <v>1304.2</v>
      </c>
      <c r="AC139" s="36">
        <f>RCF!C$35</f>
        <v>26.19</v>
      </c>
      <c r="AD139" s="87">
        <f t="shared" si="312"/>
        <v>949.6</v>
      </c>
      <c r="AE139" s="81">
        <f>RCF!C$41</f>
        <v>19.068114999999999</v>
      </c>
    </row>
    <row r="140" spans="1:31" x14ac:dyDescent="0.3">
      <c r="A140" s="41"/>
      <c r="B140" s="42"/>
      <c r="C140" s="43"/>
      <c r="D140" s="44"/>
      <c r="E140" s="45"/>
      <c r="F140" s="44"/>
      <c r="G140" s="45"/>
      <c r="H140" s="44"/>
      <c r="I140" s="45"/>
      <c r="J140" s="260"/>
      <c r="K140" s="45"/>
      <c r="L140" s="44"/>
      <c r="M140" s="45"/>
      <c r="N140" s="44"/>
      <c r="O140" s="45"/>
      <c r="P140" s="44"/>
      <c r="Q140" s="45"/>
      <c r="R140" s="44"/>
      <c r="S140" s="45"/>
      <c r="T140" s="44"/>
      <c r="U140" s="45"/>
      <c r="V140" s="45"/>
      <c r="W140" s="45"/>
      <c r="X140" s="44"/>
      <c r="Y140" s="45"/>
      <c r="Z140" s="44"/>
      <c r="AA140" s="45"/>
      <c r="AB140" s="44"/>
      <c r="AC140" s="45"/>
      <c r="AD140" s="46"/>
      <c r="AE140" s="47"/>
    </row>
    <row r="141" spans="1:31" x14ac:dyDescent="0.3">
      <c r="A141" s="204" t="s">
        <v>192</v>
      </c>
      <c r="B141" s="198"/>
      <c r="C141" s="199"/>
      <c r="D141" s="200"/>
      <c r="E141" s="201"/>
      <c r="F141" s="200"/>
      <c r="G141" s="201"/>
      <c r="H141" s="200"/>
      <c r="I141" s="201"/>
      <c r="J141" s="261"/>
      <c r="K141" s="201"/>
      <c r="L141" s="200"/>
      <c r="M141" s="201"/>
      <c r="N141" s="200"/>
      <c r="O141" s="201"/>
      <c r="P141" s="200"/>
      <c r="Q141" s="201"/>
      <c r="R141" s="200"/>
      <c r="S141" s="201"/>
      <c r="T141" s="200"/>
      <c r="U141" s="201"/>
      <c r="V141" s="201"/>
      <c r="W141" s="201"/>
      <c r="X141" s="200"/>
      <c r="Y141" s="201"/>
      <c r="Z141" s="200"/>
      <c r="AA141" s="201"/>
      <c r="AB141" s="200"/>
      <c r="AC141" s="201"/>
      <c r="AD141" s="202"/>
      <c r="AE141" s="203"/>
    </row>
    <row r="142" spans="1:31" x14ac:dyDescent="0.3">
      <c r="A142" s="183" t="s">
        <v>46</v>
      </c>
      <c r="B142" s="48"/>
      <c r="C142" s="49"/>
      <c r="D142" s="50"/>
      <c r="E142" s="51"/>
      <c r="F142" s="51"/>
      <c r="G142" s="51"/>
      <c r="H142" s="51"/>
      <c r="I142" s="51"/>
      <c r="J142" s="262"/>
      <c r="K142" s="51"/>
      <c r="L142" s="51"/>
      <c r="M142" s="51"/>
      <c r="N142" s="51"/>
      <c r="O142" s="51"/>
      <c r="P142" s="50"/>
      <c r="Q142" s="48"/>
      <c r="R142" s="50"/>
      <c r="S142" s="50"/>
      <c r="T142" s="51"/>
      <c r="U142" s="50"/>
      <c r="V142" s="51"/>
      <c r="W142" s="48"/>
      <c r="X142" s="48"/>
      <c r="Y142" s="48"/>
      <c r="Z142" s="48"/>
      <c r="AA142" s="48"/>
      <c r="AB142" s="50"/>
      <c r="AC142" s="50"/>
      <c r="AD142" s="51"/>
      <c r="AE142" s="52"/>
    </row>
    <row r="143" spans="1:31" x14ac:dyDescent="0.3">
      <c r="A143" s="184" t="s">
        <v>119</v>
      </c>
      <c r="B143" s="90"/>
      <c r="C143" s="90"/>
      <c r="D143" s="90"/>
      <c r="E143" s="90"/>
      <c r="F143" s="57"/>
      <c r="G143" s="57"/>
      <c r="H143" s="57"/>
      <c r="I143" s="57"/>
      <c r="J143" s="263"/>
      <c r="K143" s="55"/>
      <c r="L143" s="55"/>
      <c r="M143" s="55"/>
      <c r="N143" s="55"/>
      <c r="O143" s="55"/>
      <c r="P143" s="54"/>
      <c r="Q143" s="53"/>
      <c r="R143" s="54"/>
      <c r="S143" s="54"/>
      <c r="T143" s="55"/>
      <c r="U143" s="54"/>
      <c r="V143" s="55"/>
      <c r="W143" s="53"/>
      <c r="X143" s="53"/>
      <c r="Y143" s="53"/>
      <c r="Z143" s="53"/>
      <c r="AA143" s="53"/>
      <c r="AB143" s="229"/>
      <c r="AC143" s="54"/>
      <c r="AD143" s="55"/>
      <c r="AE143" s="56"/>
    </row>
    <row r="144" spans="1:31" x14ac:dyDescent="0.3">
      <c r="A144" s="92" t="s">
        <v>201</v>
      </c>
      <c r="B144" s="90"/>
      <c r="C144" s="90"/>
      <c r="D144" s="90"/>
      <c r="E144" s="90"/>
      <c r="F144" s="57"/>
      <c r="G144" s="57"/>
      <c r="H144" s="57"/>
      <c r="I144" s="57"/>
      <c r="J144" s="264"/>
      <c r="K144" s="91"/>
      <c r="L144" s="91"/>
      <c r="M144" s="57"/>
      <c r="N144" s="57"/>
      <c r="O144" s="91"/>
      <c r="P144" s="54"/>
      <c r="Q144" s="53"/>
      <c r="R144" s="235"/>
      <c r="S144" s="57"/>
      <c r="T144" s="57"/>
      <c r="U144" s="57"/>
      <c r="V144" s="57"/>
      <c r="W144" s="53"/>
      <c r="X144" s="53"/>
      <c r="Y144" s="53"/>
      <c r="Z144" s="53"/>
      <c r="AA144" s="53"/>
      <c r="AB144" s="229"/>
      <c r="AC144" s="57"/>
      <c r="AD144" s="57"/>
      <c r="AE144" s="56"/>
    </row>
    <row r="145" spans="1:31" x14ac:dyDescent="0.3">
      <c r="A145" s="185" t="s">
        <v>180</v>
      </c>
      <c r="B145" s="57"/>
      <c r="C145" s="53"/>
      <c r="D145" s="54"/>
      <c r="E145" s="55"/>
      <c r="F145" s="55"/>
      <c r="G145" s="55"/>
      <c r="H145" s="55"/>
      <c r="I145" s="55"/>
      <c r="J145" s="264"/>
      <c r="K145" s="91"/>
      <c r="L145" s="91"/>
      <c r="M145" s="57"/>
      <c r="N145" s="57"/>
      <c r="O145" s="91"/>
      <c r="P145" s="54"/>
      <c r="Q145" s="53"/>
      <c r="R145" s="235"/>
      <c r="S145" s="57"/>
      <c r="T145" s="57"/>
      <c r="U145" s="57"/>
      <c r="V145" s="57"/>
      <c r="W145" s="53"/>
      <c r="X145" s="53"/>
      <c r="Y145" s="53"/>
      <c r="Z145" s="53"/>
      <c r="AA145" s="53"/>
      <c r="AB145" s="229"/>
      <c r="AC145" s="57"/>
      <c r="AD145" s="57"/>
      <c r="AE145" s="56"/>
    </row>
    <row r="146" spans="1:31" x14ac:dyDescent="0.3">
      <c r="A146" s="186" t="s">
        <v>181</v>
      </c>
      <c r="B146" s="57"/>
      <c r="C146" s="53"/>
      <c r="D146" s="54"/>
      <c r="E146" s="55"/>
      <c r="F146" s="55"/>
      <c r="G146" s="55"/>
      <c r="H146" s="55"/>
      <c r="I146" s="55"/>
      <c r="J146" s="264"/>
      <c r="K146" s="91"/>
      <c r="L146" s="91"/>
      <c r="M146" s="55"/>
      <c r="N146" s="55"/>
      <c r="O146" s="91"/>
      <c r="P146" s="54"/>
      <c r="Q146" s="53"/>
      <c r="R146" s="235"/>
      <c r="S146" s="54"/>
      <c r="T146" s="55"/>
      <c r="U146" s="54"/>
      <c r="V146" s="55"/>
      <c r="W146" s="53"/>
      <c r="X146" s="53"/>
      <c r="Y146" s="53"/>
      <c r="Z146" s="53"/>
      <c r="AA146" s="53"/>
      <c r="AB146" s="229"/>
      <c r="AC146" s="54"/>
      <c r="AD146" s="55"/>
      <c r="AE146" s="56"/>
    </row>
    <row r="147" spans="1:31" x14ac:dyDescent="0.3">
      <c r="A147" s="184" t="s">
        <v>236</v>
      </c>
      <c r="B147" s="57"/>
      <c r="C147" s="53"/>
      <c r="D147" s="54"/>
      <c r="E147" s="55"/>
      <c r="F147" s="55"/>
      <c r="G147" s="55"/>
      <c r="H147" s="55"/>
      <c r="I147" s="55"/>
      <c r="J147" s="264"/>
      <c r="K147" s="91"/>
      <c r="L147" s="91"/>
      <c r="M147" s="55"/>
      <c r="N147" s="55"/>
      <c r="O147" s="91"/>
      <c r="P147" s="54"/>
      <c r="Q147" s="53"/>
      <c r="R147" s="235"/>
      <c r="S147" s="54"/>
      <c r="T147" s="55"/>
      <c r="U147" s="54"/>
      <c r="V147" s="55"/>
      <c r="W147" s="53"/>
      <c r="X147" s="53"/>
      <c r="Y147" s="53"/>
      <c r="Z147" s="53"/>
      <c r="AA147" s="53"/>
      <c r="AB147" s="229"/>
      <c r="AC147" s="54"/>
      <c r="AD147" s="55"/>
      <c r="AE147" s="56"/>
    </row>
    <row r="148" spans="1:31" x14ac:dyDescent="0.3">
      <c r="A148" s="187" t="s">
        <v>196</v>
      </c>
      <c r="B148" s="57"/>
      <c r="C148" s="53"/>
      <c r="D148" s="54"/>
      <c r="E148" s="55"/>
      <c r="F148" s="55"/>
      <c r="G148" s="55"/>
      <c r="H148" s="55"/>
      <c r="I148" s="55"/>
      <c r="J148" s="264"/>
      <c r="K148" s="91"/>
      <c r="L148" s="91"/>
      <c r="M148" s="55"/>
      <c r="N148" s="55"/>
      <c r="O148" s="91"/>
      <c r="P148" s="54"/>
      <c r="Q148" s="53"/>
      <c r="R148" s="235"/>
      <c r="S148" s="54"/>
      <c r="T148" s="55"/>
      <c r="U148" s="54"/>
      <c r="V148" s="55"/>
      <c r="W148" s="53"/>
      <c r="X148" s="53"/>
      <c r="Y148" s="53"/>
      <c r="Z148" s="53"/>
      <c r="AA148" s="53"/>
      <c r="AB148" s="229"/>
      <c r="AC148" s="54"/>
      <c r="AD148" s="55"/>
      <c r="AE148" s="56"/>
    </row>
    <row r="149" spans="1:31" x14ac:dyDescent="0.3">
      <c r="A149" s="188" t="s">
        <v>197</v>
      </c>
      <c r="B149" s="57"/>
      <c r="C149" s="53"/>
      <c r="D149" s="54"/>
      <c r="E149" s="55"/>
      <c r="F149" s="55"/>
      <c r="G149" s="55"/>
      <c r="H149" s="55"/>
      <c r="I149" s="55"/>
      <c r="J149" s="264"/>
      <c r="K149" s="91"/>
      <c r="L149" s="91"/>
      <c r="M149" s="55"/>
      <c r="N149" s="55"/>
      <c r="O149" s="91"/>
      <c r="P149" s="54"/>
      <c r="Q149" s="53"/>
      <c r="R149" s="235"/>
      <c r="S149" s="54"/>
      <c r="T149" s="55"/>
      <c r="U149" s="54"/>
      <c r="V149" s="55"/>
      <c r="W149" s="53"/>
      <c r="X149" s="53"/>
      <c r="Y149" s="53"/>
      <c r="Z149" s="53"/>
      <c r="AA149" s="53"/>
      <c r="AB149" s="229"/>
      <c r="AC149" s="54"/>
      <c r="AD149" s="55"/>
      <c r="AE149" s="56"/>
    </row>
    <row r="150" spans="1:31" x14ac:dyDescent="0.3">
      <c r="A150" s="187" t="s">
        <v>198</v>
      </c>
      <c r="B150" s="57"/>
      <c r="C150" s="53"/>
      <c r="D150" s="54"/>
      <c r="E150" s="55"/>
      <c r="F150" s="55"/>
      <c r="G150" s="55"/>
      <c r="H150" s="55"/>
      <c r="I150" s="55"/>
      <c r="J150" s="264"/>
      <c r="K150" s="91"/>
      <c r="L150" s="91"/>
      <c r="M150" s="55"/>
      <c r="N150" s="55"/>
      <c r="O150" s="91"/>
      <c r="P150" s="54"/>
      <c r="Q150" s="53"/>
      <c r="R150" s="235"/>
      <c r="S150" s="54"/>
      <c r="T150" s="55"/>
      <c r="U150" s="54"/>
      <c r="V150" s="55"/>
      <c r="W150" s="53"/>
      <c r="X150" s="53"/>
      <c r="Y150" s="53"/>
      <c r="Z150" s="53"/>
      <c r="AA150" s="53"/>
      <c r="AB150" s="229"/>
      <c r="AC150" s="54"/>
      <c r="AD150" s="55"/>
      <c r="AE150" s="56"/>
    </row>
    <row r="151" spans="1:31" x14ac:dyDescent="0.3">
      <c r="A151" s="189" t="s">
        <v>237</v>
      </c>
      <c r="B151" s="57"/>
      <c r="C151" s="53"/>
      <c r="D151" s="54"/>
      <c r="E151" s="55"/>
      <c r="F151" s="55"/>
      <c r="G151" s="55"/>
      <c r="H151" s="55"/>
      <c r="I151" s="55"/>
      <c r="J151" s="264"/>
      <c r="K151" s="91"/>
      <c r="L151" s="91"/>
      <c r="M151" s="55"/>
      <c r="N151" s="55"/>
      <c r="O151" s="91"/>
      <c r="P151" s="54"/>
      <c r="Q151" s="53"/>
      <c r="R151" s="235"/>
      <c r="S151" s="54"/>
      <c r="T151" s="55"/>
      <c r="U151" s="54"/>
      <c r="V151" s="55"/>
      <c r="W151" s="53"/>
      <c r="X151" s="53"/>
      <c r="Y151" s="53"/>
      <c r="Z151" s="53"/>
      <c r="AA151" s="53"/>
      <c r="AB151" s="229"/>
      <c r="AC151" s="54"/>
      <c r="AD151" s="55"/>
      <c r="AE151" s="56"/>
    </row>
    <row r="152" spans="1:31" x14ac:dyDescent="0.3">
      <c r="A152" s="184" t="s">
        <v>182</v>
      </c>
      <c r="B152" s="57"/>
      <c r="C152" s="53"/>
      <c r="D152" s="54"/>
      <c r="E152" s="55"/>
      <c r="F152" s="55"/>
      <c r="G152" s="55"/>
      <c r="H152" s="55"/>
      <c r="I152" s="55"/>
      <c r="J152" s="264"/>
      <c r="K152" s="91"/>
      <c r="L152" s="91"/>
      <c r="M152" s="55"/>
      <c r="N152" s="55"/>
      <c r="O152" s="91"/>
      <c r="P152" s="54"/>
      <c r="Q152" s="53"/>
      <c r="R152" s="235"/>
      <c r="S152" s="54"/>
      <c r="T152" s="55"/>
      <c r="U152" s="54"/>
      <c r="V152" s="55"/>
      <c r="W152" s="53"/>
      <c r="X152" s="53"/>
      <c r="Y152" s="53"/>
      <c r="Z152" s="53"/>
      <c r="AA152" s="53"/>
      <c r="AB152" s="229"/>
      <c r="AC152" s="54"/>
      <c r="AD152" s="55"/>
      <c r="AE152" s="56"/>
    </row>
    <row r="153" spans="1:31" x14ac:dyDescent="0.3">
      <c r="A153" s="186" t="s">
        <v>183</v>
      </c>
      <c r="B153" s="57"/>
      <c r="C153" s="53"/>
      <c r="D153" s="54"/>
      <c r="E153" s="55"/>
      <c r="F153" s="55"/>
      <c r="G153" s="55"/>
      <c r="H153" s="55"/>
      <c r="I153" s="55"/>
      <c r="J153" s="264"/>
      <c r="K153" s="91"/>
      <c r="L153" s="91"/>
      <c r="M153" s="55"/>
      <c r="N153" s="55"/>
      <c r="O153" s="91"/>
      <c r="P153" s="54"/>
      <c r="Q153" s="53"/>
      <c r="R153" s="235"/>
      <c r="S153" s="54"/>
      <c r="T153" s="55"/>
      <c r="U153" s="54"/>
      <c r="V153" s="55"/>
      <c r="W153" s="53"/>
      <c r="X153" s="53"/>
      <c r="Y153" s="53"/>
      <c r="Z153" s="53"/>
      <c r="AA153" s="53"/>
      <c r="AB153" s="229"/>
      <c r="AC153" s="54"/>
      <c r="AD153" s="55"/>
      <c r="AE153" s="56"/>
    </row>
    <row r="154" spans="1:31" x14ac:dyDescent="0.3">
      <c r="A154" s="186" t="s">
        <v>184</v>
      </c>
      <c r="B154" s="57"/>
      <c r="C154" s="53"/>
      <c r="D154" s="54"/>
      <c r="E154" s="55"/>
      <c r="F154" s="55"/>
      <c r="G154" s="55"/>
      <c r="H154" s="55"/>
      <c r="I154" s="55"/>
      <c r="J154" s="264"/>
      <c r="K154" s="91"/>
      <c r="L154" s="91"/>
      <c r="M154" s="55"/>
      <c r="N154" s="55"/>
      <c r="O154" s="91"/>
      <c r="P154" s="54"/>
      <c r="Q154" s="53"/>
      <c r="R154" s="235"/>
      <c r="S154" s="54"/>
      <c r="T154" s="55"/>
      <c r="U154" s="54"/>
      <c r="V154" s="55"/>
      <c r="W154" s="53"/>
      <c r="X154" s="53"/>
      <c r="Y154" s="53"/>
      <c r="Z154" s="53"/>
      <c r="AA154" s="53"/>
      <c r="AB154" s="229"/>
      <c r="AC154" s="54"/>
      <c r="AD154" s="55"/>
      <c r="AE154" s="56"/>
    </row>
    <row r="155" spans="1:31" x14ac:dyDescent="0.3">
      <c r="A155" s="190" t="s">
        <v>185</v>
      </c>
      <c r="B155" s="57"/>
      <c r="C155" s="53"/>
      <c r="D155" s="54"/>
      <c r="E155" s="55"/>
      <c r="F155" s="55"/>
      <c r="G155" s="55"/>
      <c r="H155" s="55"/>
      <c r="I155" s="55"/>
      <c r="J155" s="264"/>
      <c r="K155" s="91"/>
      <c r="L155" s="91"/>
      <c r="M155" s="55"/>
      <c r="N155" s="55"/>
      <c r="O155" s="91"/>
      <c r="P155" s="54"/>
      <c r="Q155" s="53"/>
      <c r="R155" s="235"/>
      <c r="S155" s="54"/>
      <c r="T155" s="55"/>
      <c r="U155" s="54"/>
      <c r="V155" s="55"/>
      <c r="W155" s="53"/>
      <c r="X155" s="53"/>
      <c r="Y155" s="53"/>
      <c r="Z155" s="53"/>
      <c r="AA155" s="53"/>
      <c r="AB155" s="229"/>
      <c r="AC155" s="54"/>
      <c r="AD155" s="55"/>
      <c r="AE155" s="56"/>
    </row>
    <row r="156" spans="1:31" x14ac:dyDescent="0.3">
      <c r="A156" s="186" t="s">
        <v>186</v>
      </c>
      <c r="B156" s="57"/>
      <c r="C156" s="53"/>
      <c r="D156" s="54"/>
      <c r="E156" s="55"/>
      <c r="F156" s="55"/>
      <c r="G156" s="55"/>
      <c r="H156" s="55"/>
      <c r="I156" s="55"/>
      <c r="J156" s="264"/>
      <c r="K156" s="91"/>
      <c r="L156" s="91"/>
      <c r="M156" s="55"/>
      <c r="N156" s="55"/>
      <c r="O156" s="91"/>
      <c r="P156" s="54"/>
      <c r="Q156" s="53"/>
      <c r="R156" s="235"/>
      <c r="S156" s="54"/>
      <c r="T156" s="55"/>
      <c r="U156" s="54"/>
      <c r="V156" s="55"/>
      <c r="W156" s="53"/>
      <c r="X156" s="53"/>
      <c r="Y156" s="53"/>
      <c r="Z156" s="53"/>
      <c r="AA156" s="53"/>
      <c r="AB156" s="229"/>
      <c r="AC156" s="54"/>
      <c r="AD156" s="55"/>
      <c r="AE156" s="56"/>
    </row>
    <row r="157" spans="1:31" x14ac:dyDescent="0.3">
      <c r="A157" s="274" t="s">
        <v>199</v>
      </c>
      <c r="B157" s="57"/>
      <c r="C157" s="53"/>
      <c r="D157" s="54"/>
      <c r="E157" s="55"/>
      <c r="F157" s="55"/>
      <c r="G157" s="55"/>
      <c r="H157" s="55"/>
      <c r="I157" s="55"/>
      <c r="J157" s="263"/>
      <c r="K157" s="55"/>
      <c r="L157" s="55"/>
      <c r="M157" s="55"/>
      <c r="N157" s="55"/>
      <c r="O157" s="55"/>
      <c r="P157" s="54"/>
      <c r="Q157" s="53"/>
      <c r="R157" s="54"/>
      <c r="S157" s="54"/>
      <c r="T157" s="55"/>
      <c r="U157" s="54"/>
      <c r="V157" s="55"/>
      <c r="W157" s="53"/>
      <c r="X157" s="53"/>
      <c r="Y157" s="53"/>
      <c r="Z157" s="53"/>
      <c r="AA157" s="53"/>
      <c r="AB157" s="229"/>
      <c r="AC157" s="54"/>
      <c r="AD157" s="55"/>
      <c r="AE157" s="56"/>
    </row>
    <row r="158" spans="1:31" x14ac:dyDescent="0.3">
      <c r="A158" s="191" t="s">
        <v>120</v>
      </c>
      <c r="B158" s="59"/>
      <c r="C158" s="59"/>
      <c r="D158" s="60"/>
      <c r="E158" s="61"/>
      <c r="F158" s="61"/>
      <c r="G158" s="61"/>
      <c r="H158" s="61"/>
      <c r="I158" s="61"/>
      <c r="J158" s="263"/>
      <c r="K158" s="55"/>
      <c r="L158" s="55"/>
      <c r="M158" s="55"/>
      <c r="N158" s="55"/>
      <c r="O158" s="55"/>
      <c r="P158" s="54"/>
      <c r="Q158" s="53"/>
      <c r="R158" s="54"/>
      <c r="S158" s="54"/>
      <c r="T158" s="55"/>
      <c r="U158" s="54"/>
      <c r="V158" s="55"/>
      <c r="W158" s="53"/>
      <c r="X158" s="53"/>
      <c r="Y158" s="53"/>
      <c r="Z158" s="53"/>
      <c r="AA158" s="53"/>
      <c r="AB158" s="229"/>
      <c r="AC158" s="54"/>
      <c r="AD158" s="55"/>
      <c r="AE158" s="56"/>
    </row>
    <row r="159" spans="1:31" x14ac:dyDescent="0.3">
      <c r="A159" s="186" t="s">
        <v>187</v>
      </c>
      <c r="C159" s="53"/>
      <c r="D159" s="54"/>
      <c r="E159" s="55"/>
      <c r="F159" s="55"/>
      <c r="G159" s="55"/>
      <c r="H159" s="55"/>
      <c r="I159" s="55"/>
      <c r="J159" s="263"/>
      <c r="K159" s="55"/>
      <c r="L159" s="55"/>
      <c r="M159" s="55"/>
      <c r="N159" s="55"/>
      <c r="O159" s="55"/>
      <c r="P159" s="54"/>
      <c r="Q159" s="53"/>
      <c r="R159" s="54"/>
      <c r="S159" s="54"/>
      <c r="T159" s="55"/>
      <c r="U159" s="54"/>
      <c r="V159" s="55"/>
      <c r="W159" s="53"/>
      <c r="X159" s="53"/>
      <c r="Y159" s="53"/>
      <c r="Z159" s="53"/>
      <c r="AA159" s="53"/>
      <c r="AB159" s="229"/>
      <c r="AC159" s="54"/>
      <c r="AD159" s="55"/>
      <c r="AE159" s="56"/>
    </row>
    <row r="160" spans="1:31" x14ac:dyDescent="0.3">
      <c r="A160" s="192" t="s">
        <v>188</v>
      </c>
      <c r="B160" s="59"/>
      <c r="C160" s="59"/>
      <c r="D160" s="60"/>
      <c r="E160" s="61"/>
      <c r="F160" s="61"/>
      <c r="G160" s="61"/>
      <c r="H160" s="61"/>
      <c r="I160" s="61"/>
      <c r="J160" s="263"/>
      <c r="K160" s="55"/>
      <c r="L160" s="55"/>
      <c r="M160" s="55"/>
      <c r="N160" s="55"/>
      <c r="O160" s="55"/>
      <c r="P160" s="54"/>
      <c r="Q160" s="53"/>
      <c r="R160" s="54"/>
      <c r="S160" s="54"/>
      <c r="T160" s="55"/>
      <c r="U160" s="54"/>
      <c r="V160" s="55"/>
      <c r="W160" s="53"/>
      <c r="X160" s="53"/>
      <c r="Y160" s="53"/>
      <c r="Z160" s="53"/>
      <c r="AA160" s="53"/>
      <c r="AB160" s="229"/>
      <c r="AC160" s="54"/>
      <c r="AD160" s="55"/>
      <c r="AE160" s="56"/>
    </row>
    <row r="161" spans="1:31" x14ac:dyDescent="0.3">
      <c r="A161" s="193" t="s">
        <v>189</v>
      </c>
      <c r="B161" s="279"/>
      <c r="C161" s="279"/>
      <c r="D161" s="280"/>
      <c r="E161" s="281"/>
      <c r="F161" s="280"/>
      <c r="G161" s="281"/>
      <c r="H161" s="280"/>
      <c r="I161" s="281"/>
      <c r="J161" s="265"/>
      <c r="K161" s="61"/>
      <c r="L161" s="61"/>
      <c r="M161" s="61"/>
      <c r="N161" s="61"/>
      <c r="O161" s="61"/>
      <c r="P161" s="60"/>
      <c r="Q161" s="59"/>
      <c r="R161" s="60"/>
      <c r="S161" s="60"/>
      <c r="T161" s="61"/>
      <c r="U161" s="60"/>
      <c r="V161" s="61"/>
      <c r="W161" s="59"/>
      <c r="X161" s="59"/>
      <c r="Y161" s="59"/>
      <c r="Z161" s="59"/>
      <c r="AA161" s="59"/>
      <c r="AB161" s="230"/>
      <c r="AC161" s="60"/>
      <c r="AD161" s="61"/>
      <c r="AE161" s="62"/>
    </row>
    <row r="162" spans="1:31" x14ac:dyDescent="0.3">
      <c r="A162" s="194" t="s">
        <v>190</v>
      </c>
      <c r="B162" s="279"/>
      <c r="C162" s="279"/>
      <c r="D162" s="280"/>
      <c r="E162" s="281"/>
      <c r="F162" s="280"/>
      <c r="G162" s="281"/>
      <c r="H162" s="280"/>
      <c r="I162" s="281"/>
      <c r="J162" s="263"/>
      <c r="K162" s="55"/>
      <c r="L162" s="55"/>
      <c r="M162" s="55"/>
      <c r="N162" s="55"/>
      <c r="O162" s="55"/>
      <c r="P162" s="54"/>
      <c r="Q162" s="53"/>
      <c r="R162" s="54"/>
      <c r="S162" s="54"/>
      <c r="T162" s="55"/>
      <c r="U162" s="54"/>
      <c r="V162" s="55"/>
      <c r="W162" s="53"/>
      <c r="X162" s="53"/>
      <c r="Y162" s="53"/>
      <c r="Z162" s="53"/>
      <c r="AA162" s="53"/>
      <c r="AB162" s="229"/>
      <c r="AC162" s="54"/>
      <c r="AD162" s="55"/>
      <c r="AE162" s="56"/>
    </row>
    <row r="163" spans="1:31" x14ac:dyDescent="0.3">
      <c r="A163" s="195" t="s">
        <v>202</v>
      </c>
      <c r="B163" s="279"/>
      <c r="C163" s="279"/>
      <c r="D163" s="280"/>
      <c r="E163" s="281"/>
      <c r="F163" s="280"/>
      <c r="G163" s="281"/>
      <c r="H163" s="280"/>
      <c r="I163" s="281"/>
      <c r="J163" s="265"/>
      <c r="K163" s="61"/>
      <c r="L163" s="61"/>
      <c r="M163" s="61"/>
      <c r="N163" s="61"/>
      <c r="O163" s="61"/>
      <c r="P163" s="60"/>
      <c r="Q163" s="59"/>
      <c r="R163" s="60"/>
      <c r="S163" s="60"/>
      <c r="T163" s="61"/>
      <c r="U163" s="60"/>
      <c r="V163" s="61"/>
      <c r="W163" s="59"/>
      <c r="X163" s="59"/>
      <c r="Y163" s="59"/>
      <c r="Z163" s="59"/>
      <c r="AA163" s="59"/>
      <c r="AB163" s="230"/>
      <c r="AC163" s="60"/>
      <c r="AD163" s="61"/>
      <c r="AE163" s="62"/>
    </row>
    <row r="164" spans="1:31" x14ac:dyDescent="0.3">
      <c r="A164" s="196" t="s">
        <v>200</v>
      </c>
      <c r="B164" s="282"/>
      <c r="C164" s="282"/>
      <c r="D164" s="283"/>
      <c r="E164" s="284"/>
      <c r="F164" s="283"/>
      <c r="G164" s="284"/>
      <c r="H164" s="283"/>
      <c r="I164" s="284"/>
      <c r="J164" s="265"/>
      <c r="K164" s="61"/>
      <c r="L164" s="61"/>
      <c r="M164" s="61"/>
      <c r="N164" s="61"/>
      <c r="O164" s="61"/>
      <c r="P164" s="60"/>
      <c r="Q164" s="59"/>
      <c r="R164" s="60"/>
      <c r="S164" s="60"/>
      <c r="T164" s="61"/>
      <c r="U164" s="60"/>
      <c r="V164" s="61"/>
      <c r="W164" s="59"/>
      <c r="X164" s="59"/>
      <c r="Y164" s="59"/>
      <c r="Z164" s="59"/>
      <c r="AA164" s="59"/>
      <c r="AB164" s="230"/>
      <c r="AC164" s="60"/>
      <c r="AD164" s="61"/>
      <c r="AE164" s="62"/>
    </row>
    <row r="165" spans="1:31" x14ac:dyDescent="0.3">
      <c r="A165" s="197" t="s">
        <v>191</v>
      </c>
      <c r="B165" s="279"/>
      <c r="C165" s="279"/>
      <c r="D165" s="280"/>
      <c r="E165" s="281"/>
      <c r="F165" s="280"/>
      <c r="G165" s="281"/>
      <c r="H165" s="280"/>
      <c r="I165" s="281"/>
      <c r="J165" s="265"/>
      <c r="K165" s="61"/>
      <c r="L165" s="61"/>
      <c r="M165" s="61"/>
      <c r="N165" s="61"/>
      <c r="O165" s="61"/>
      <c r="P165" s="60"/>
      <c r="Q165" s="59"/>
      <c r="R165" s="60"/>
      <c r="S165" s="60"/>
      <c r="T165" s="61"/>
      <c r="U165" s="60"/>
      <c r="V165" s="61"/>
      <c r="W165" s="59"/>
      <c r="X165" s="59"/>
      <c r="Y165" s="59"/>
      <c r="Z165" s="59"/>
      <c r="AA165" s="59"/>
      <c r="AB165" s="230"/>
      <c r="AC165" s="60"/>
      <c r="AD165" s="61"/>
      <c r="AE165" s="62"/>
    </row>
    <row r="166" spans="1:31" s="58" customFormat="1" x14ac:dyDescent="0.3">
      <c r="A166" s="191"/>
      <c r="B166" s="59"/>
      <c r="C166" s="59"/>
      <c r="D166" s="60"/>
      <c r="E166" s="61"/>
      <c r="F166" s="60"/>
      <c r="G166" s="61"/>
      <c r="H166" s="61"/>
      <c r="I166" s="61"/>
      <c r="J166" s="265"/>
      <c r="K166" s="61"/>
      <c r="L166" s="61"/>
      <c r="M166" s="60"/>
      <c r="N166" s="61"/>
      <c r="O166" s="61"/>
      <c r="P166" s="60"/>
      <c r="Q166" s="59"/>
      <c r="R166" s="60"/>
      <c r="S166" s="60"/>
      <c r="T166" s="61"/>
      <c r="U166" s="60"/>
      <c r="V166" s="61"/>
      <c r="W166" s="59"/>
      <c r="X166" s="59"/>
      <c r="Y166" s="59"/>
      <c r="Z166" s="59"/>
      <c r="AA166" s="59"/>
      <c r="AB166" s="230"/>
      <c r="AC166" s="60"/>
      <c r="AD166" s="61"/>
      <c r="AE166" s="62"/>
    </row>
    <row r="167" spans="1:31" s="58" customFormat="1" x14ac:dyDescent="0.3">
      <c r="A167" s="208" t="s">
        <v>44</v>
      </c>
      <c r="B167" s="209"/>
      <c r="C167" s="210"/>
      <c r="D167" s="211"/>
      <c r="E167" s="212"/>
      <c r="F167" s="211"/>
      <c r="G167" s="212"/>
      <c r="H167" s="212"/>
      <c r="I167" s="212"/>
      <c r="J167" s="266"/>
      <c r="K167" s="212"/>
      <c r="L167" s="212"/>
      <c r="M167" s="211"/>
      <c r="N167" s="212"/>
      <c r="O167" s="212"/>
      <c r="P167" s="211"/>
      <c r="Q167" s="209"/>
      <c r="R167" s="211"/>
      <c r="S167" s="211"/>
      <c r="T167" s="212"/>
      <c r="U167" s="211"/>
      <c r="V167" s="212"/>
      <c r="W167" s="209"/>
      <c r="X167" s="209"/>
      <c r="Y167" s="209"/>
      <c r="Z167" s="209"/>
      <c r="AA167" s="209"/>
      <c r="AB167" s="211"/>
      <c r="AC167" s="211"/>
      <c r="AD167" s="212"/>
      <c r="AE167" s="213"/>
    </row>
    <row r="168" spans="1:31" x14ac:dyDescent="0.3">
      <c r="A168" s="214" t="s">
        <v>47</v>
      </c>
      <c r="B168" s="215"/>
      <c r="C168" s="215"/>
      <c r="D168" s="215"/>
      <c r="E168" s="215"/>
      <c r="F168" s="216"/>
      <c r="G168" s="215"/>
      <c r="H168" s="215"/>
      <c r="I168" s="215"/>
      <c r="J168" s="267"/>
      <c r="K168" s="215"/>
      <c r="L168" s="215"/>
      <c r="M168" s="216"/>
      <c r="N168" s="215"/>
      <c r="O168" s="215"/>
      <c r="P168" s="216"/>
      <c r="Q168" s="215"/>
      <c r="R168" s="231"/>
      <c r="S168" s="215"/>
      <c r="T168" s="215"/>
      <c r="U168" s="215"/>
      <c r="V168" s="215"/>
      <c r="W168" s="215"/>
      <c r="X168" s="215"/>
      <c r="Y168" s="215"/>
      <c r="Z168" s="215"/>
      <c r="AA168" s="215"/>
      <c r="AB168" s="231"/>
      <c r="AC168" s="215"/>
      <c r="AD168" s="215"/>
      <c r="AE168" s="217"/>
    </row>
    <row r="169" spans="1:31" x14ac:dyDescent="0.3">
      <c r="A169" s="218"/>
      <c r="B169" s="219"/>
      <c r="C169" s="220"/>
      <c r="D169" s="221"/>
      <c r="E169" s="222"/>
      <c r="F169" s="221"/>
      <c r="G169" s="222"/>
      <c r="H169" s="222"/>
      <c r="I169" s="222"/>
      <c r="J169" s="268"/>
      <c r="K169" s="222"/>
      <c r="L169" s="222"/>
      <c r="M169" s="221"/>
      <c r="N169" s="222"/>
      <c r="O169" s="222"/>
      <c r="P169" s="221"/>
      <c r="Q169" s="219"/>
      <c r="R169" s="221"/>
      <c r="S169" s="221"/>
      <c r="T169" s="222"/>
      <c r="U169" s="221"/>
      <c r="V169" s="222"/>
      <c r="W169" s="219"/>
      <c r="X169" s="219"/>
      <c r="Y169" s="219"/>
      <c r="Z169" s="219"/>
      <c r="AA169" s="219"/>
      <c r="AB169" s="232"/>
      <c r="AC169" s="221"/>
      <c r="AD169" s="222"/>
      <c r="AE169" s="223"/>
    </row>
    <row r="170" spans="1:31" x14ac:dyDescent="0.3">
      <c r="A170" s="63" t="s">
        <v>49</v>
      </c>
      <c r="B170" s="64"/>
      <c r="C170" s="65"/>
      <c r="D170" s="66"/>
      <c r="E170" s="67"/>
      <c r="F170" s="66"/>
      <c r="G170" s="67"/>
      <c r="H170" s="67"/>
      <c r="I170" s="67"/>
      <c r="J170" s="269"/>
      <c r="K170" s="67"/>
      <c r="L170" s="67"/>
      <c r="M170" s="66"/>
      <c r="N170" s="67"/>
      <c r="O170" s="67"/>
      <c r="P170" s="66"/>
      <c r="Q170" s="64"/>
      <c r="R170" s="66"/>
      <c r="S170" s="66"/>
      <c r="T170" s="67"/>
      <c r="U170" s="66"/>
      <c r="V170" s="67"/>
      <c r="W170" s="64"/>
      <c r="X170" s="64"/>
      <c r="Y170" s="64"/>
      <c r="Z170" s="64"/>
      <c r="AA170" s="64"/>
      <c r="AB170" s="66"/>
      <c r="AC170" s="66"/>
      <c r="AD170" s="67"/>
      <c r="AE170" s="68"/>
    </row>
    <row r="171" spans="1:31" x14ac:dyDescent="0.3">
      <c r="A171" s="69" t="s">
        <v>71</v>
      </c>
      <c r="B171" s="70"/>
      <c r="C171" s="70"/>
      <c r="D171" s="70"/>
      <c r="E171" s="70"/>
      <c r="F171" s="83"/>
      <c r="G171" s="70"/>
      <c r="H171" s="70"/>
      <c r="I171" s="70"/>
      <c r="J171" s="270"/>
      <c r="K171" s="70"/>
      <c r="L171" s="70"/>
      <c r="M171" s="83"/>
      <c r="N171" s="70"/>
      <c r="O171" s="70"/>
      <c r="P171" s="83"/>
      <c r="Q171" s="70"/>
      <c r="R171" s="233"/>
      <c r="S171" s="70"/>
      <c r="T171" s="70"/>
      <c r="U171" s="70"/>
      <c r="V171" s="70"/>
      <c r="W171" s="70"/>
      <c r="X171" s="70"/>
      <c r="Y171" s="70"/>
      <c r="Z171" s="70"/>
      <c r="AA171" s="70"/>
      <c r="AB171" s="233"/>
      <c r="AC171" s="70"/>
      <c r="AD171" s="70"/>
      <c r="AE171" s="71"/>
    </row>
    <row r="172" spans="1:31" x14ac:dyDescent="0.3">
      <c r="A172" s="69" t="s">
        <v>72</v>
      </c>
      <c r="B172" s="70"/>
      <c r="C172" s="70"/>
      <c r="D172" s="70"/>
      <c r="E172" s="70"/>
      <c r="F172" s="83"/>
      <c r="G172" s="70"/>
      <c r="H172" s="70"/>
      <c r="I172" s="70"/>
      <c r="J172" s="270"/>
      <c r="K172" s="70"/>
      <c r="L172" s="70"/>
      <c r="M172" s="83"/>
      <c r="N172" s="70"/>
      <c r="O172" s="70"/>
      <c r="P172" s="83"/>
      <c r="Q172" s="70"/>
      <c r="R172" s="233"/>
      <c r="S172" s="70"/>
      <c r="T172" s="70"/>
      <c r="U172" s="70"/>
      <c r="V172" s="70"/>
      <c r="W172" s="70"/>
      <c r="X172" s="70"/>
      <c r="Y172" s="70"/>
      <c r="Z172" s="70"/>
      <c r="AA172" s="70"/>
      <c r="AB172" s="233"/>
      <c r="AC172" s="70"/>
      <c r="AD172" s="70"/>
      <c r="AE172" s="71"/>
    </row>
    <row r="173" spans="1:31" x14ac:dyDescent="0.3">
      <c r="A173" s="69" t="s">
        <v>50</v>
      </c>
      <c r="B173" s="70"/>
      <c r="C173" s="70"/>
      <c r="D173" s="70"/>
      <c r="E173" s="70"/>
      <c r="F173" s="83"/>
      <c r="G173" s="70"/>
      <c r="H173" s="70"/>
      <c r="I173" s="70"/>
      <c r="J173" s="270"/>
      <c r="K173" s="70"/>
      <c r="L173" s="70"/>
      <c r="M173" s="83"/>
      <c r="N173" s="70"/>
      <c r="O173" s="70"/>
      <c r="P173" s="83"/>
      <c r="Q173" s="70"/>
      <c r="R173" s="233"/>
      <c r="S173" s="70"/>
      <c r="T173" s="70"/>
      <c r="U173" s="70"/>
      <c r="V173" s="70"/>
      <c r="W173" s="70"/>
      <c r="X173" s="70"/>
      <c r="Y173" s="70"/>
      <c r="Z173" s="70"/>
      <c r="AA173" s="70"/>
      <c r="AB173" s="233"/>
      <c r="AC173" s="70"/>
      <c r="AD173" s="70"/>
      <c r="AE173" s="71"/>
    </row>
    <row r="174" spans="1:31" x14ac:dyDescent="0.3">
      <c r="A174" s="69" t="s">
        <v>51</v>
      </c>
      <c r="B174" s="70"/>
      <c r="C174" s="70"/>
      <c r="D174" s="70"/>
      <c r="E174" s="70"/>
      <c r="F174" s="83"/>
      <c r="G174" s="70"/>
      <c r="H174" s="70"/>
      <c r="I174" s="70"/>
      <c r="J174" s="270"/>
      <c r="K174" s="70"/>
      <c r="L174" s="70"/>
      <c r="M174" s="83"/>
      <c r="N174" s="70"/>
      <c r="O174" s="70"/>
      <c r="P174" s="83"/>
      <c r="Q174" s="70"/>
      <c r="R174" s="233"/>
      <c r="S174" s="70"/>
      <c r="T174" s="70"/>
      <c r="U174" s="70"/>
      <c r="V174" s="70"/>
      <c r="W174" s="70"/>
      <c r="X174" s="70"/>
      <c r="Y174" s="70"/>
      <c r="Z174" s="70"/>
      <c r="AA174" s="70"/>
      <c r="AB174" s="233"/>
      <c r="AC174" s="70"/>
      <c r="AD174" s="70"/>
      <c r="AE174" s="71"/>
    </row>
    <row r="175" spans="1:31" x14ac:dyDescent="0.3">
      <c r="A175" s="69" t="s">
        <v>52</v>
      </c>
      <c r="B175" s="70"/>
      <c r="C175" s="70"/>
      <c r="D175" s="70"/>
      <c r="E175" s="70"/>
      <c r="F175" s="83"/>
      <c r="G175" s="70"/>
      <c r="H175" s="70"/>
      <c r="I175" s="70"/>
      <c r="J175" s="270"/>
      <c r="K175" s="70"/>
      <c r="L175" s="70"/>
      <c r="M175" s="83"/>
      <c r="N175" s="70"/>
      <c r="O175" s="70"/>
      <c r="P175" s="83"/>
      <c r="Q175" s="70"/>
      <c r="R175" s="233"/>
      <c r="S175" s="70"/>
      <c r="T175" s="70"/>
      <c r="U175" s="70"/>
      <c r="V175" s="70"/>
      <c r="W175" s="70"/>
      <c r="X175" s="70"/>
      <c r="Y175" s="70"/>
      <c r="Z175" s="70"/>
      <c r="AA175" s="70"/>
      <c r="AB175" s="233"/>
      <c r="AC175" s="70"/>
      <c r="AD175" s="70"/>
      <c r="AE175" s="71"/>
    </row>
    <row r="176" spans="1:31" x14ac:dyDescent="0.3">
      <c r="A176" s="72"/>
      <c r="B176" s="73"/>
      <c r="C176" s="74"/>
      <c r="D176" s="75"/>
      <c r="E176" s="76"/>
      <c r="F176" s="75"/>
      <c r="G176" s="76"/>
      <c r="H176" s="76"/>
      <c r="I176" s="76"/>
      <c r="J176" s="271"/>
      <c r="K176" s="76"/>
      <c r="L176" s="76"/>
      <c r="M176" s="75"/>
      <c r="N176" s="76"/>
      <c r="O176" s="76"/>
      <c r="P176" s="75"/>
      <c r="Q176" s="73"/>
      <c r="R176" s="75"/>
      <c r="S176" s="75"/>
      <c r="T176" s="76"/>
      <c r="U176" s="75"/>
      <c r="V176" s="76"/>
      <c r="W176" s="73"/>
      <c r="X176" s="73"/>
      <c r="Y176" s="73"/>
      <c r="Z176" s="73"/>
      <c r="AA176" s="73"/>
      <c r="AB176" s="75"/>
      <c r="AC176" s="75"/>
      <c r="AD176" s="76"/>
      <c r="AE176" s="77"/>
    </row>
  </sheetData>
  <sheetProtection algorithmName="SHA-512" hashValue="lUPp8ZstJddlYmpLRmjKhnLdqqfG/Ti5GbphJLhbqDQoCh6ZakPI2NHAULg50e6cod8/KgmRpt7Q1lRwJWMWKQ==" saltValue="/Is9+mdkj+Af/47uSuvjlQ==" spinCount="100000" sheet="1" formatCells="0" formatColumns="0" formatRows="0"/>
  <sortState xmlns:xlrd2="http://schemas.microsoft.com/office/spreadsheetml/2017/richdata2" ref="A37:AE139">
    <sortCondition ref="A36:A139"/>
  </sortState>
  <mergeCells count="12">
    <mergeCell ref="X3:Y3"/>
    <mergeCell ref="AB3:AC3"/>
    <mergeCell ref="H3:I3"/>
    <mergeCell ref="Z3:AA3"/>
    <mergeCell ref="AD3:AE3"/>
    <mergeCell ref="T3:W3"/>
    <mergeCell ref="P3:Q3"/>
    <mergeCell ref="D3:E3"/>
    <mergeCell ref="F3:G3"/>
    <mergeCell ref="J3:K3"/>
    <mergeCell ref="R3:S3"/>
    <mergeCell ref="L3:O3"/>
  </mergeCells>
  <phoneticPr fontId="0" type="noConversion"/>
  <printOptions horizontalCentered="1" gridLines="1"/>
  <pageMargins left="0.25" right="0.25" top="0.21" bottom="0.28000000000000003" header="0.12" footer="0.17"/>
  <pageSetup paperSize="9" scale="72" fitToWidth="4" fitToHeight="10" orientation="landscape" r:id="rId1"/>
  <headerFooter alignWithMargins="0">
    <oddFooter>Page &amp;P of &amp;N</oddFooter>
  </headerFooter>
  <rowBreaks count="1" manualBreakCount="1">
    <brk id="141" max="28" man="1"/>
  </rowBreaks>
  <colBreaks count="3" manualBreakCount="3">
    <brk id="11" max="114" man="1"/>
    <brk id="19" max="114" man="1"/>
    <brk id="27" max="11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64"/>
  <sheetViews>
    <sheetView zoomScale="80" zoomScaleNormal="80" workbookViewId="0">
      <pane ySplit="3" topLeftCell="A4" activePane="bottomLeft" state="frozen"/>
      <selection pane="bottomLeft" activeCell="M17" sqref="M17"/>
    </sheetView>
  </sheetViews>
  <sheetFormatPr defaultColWidth="11.44140625" defaultRowHeight="14.4" x14ac:dyDescent="0.3"/>
  <cols>
    <col min="1" max="1" width="33.88671875" style="120" customWidth="1"/>
    <col min="2" max="2" width="5.5546875" style="133" bestFit="1" customWidth="1"/>
    <col min="3" max="3" width="10" style="134" bestFit="1" customWidth="1"/>
    <col min="4" max="4" width="10.33203125" style="134" customWidth="1"/>
    <col min="5" max="5" width="9.44140625" style="134" bestFit="1" customWidth="1"/>
    <col min="6" max="6" width="12.44140625" style="134" customWidth="1"/>
    <col min="7" max="7" width="9.33203125" style="134" customWidth="1"/>
    <col min="8" max="8" width="12.33203125" style="134" customWidth="1"/>
    <col min="9" max="9" width="8.109375" style="134" bestFit="1" customWidth="1"/>
    <col min="10" max="10" width="9.5546875" style="135" customWidth="1"/>
    <col min="11" max="12" width="11.44140625" style="119"/>
    <col min="13" max="13" width="14.88671875" style="136" bestFit="1" customWidth="1"/>
    <col min="14" max="14" width="9.88671875" style="136" bestFit="1" customWidth="1"/>
    <col min="15" max="16" width="9.33203125" style="136" bestFit="1" customWidth="1"/>
    <col min="17" max="19" width="10.6640625" style="136" bestFit="1" customWidth="1"/>
    <col min="20" max="16384" width="11.44140625" style="122"/>
  </cols>
  <sheetData>
    <row r="1" spans="1:19" s="120" customFormat="1" ht="43.2" x14ac:dyDescent="0.3">
      <c r="A1" s="288" t="s">
        <v>127</v>
      </c>
      <c r="B1" s="289"/>
      <c r="C1" s="290">
        <v>1204</v>
      </c>
      <c r="D1" s="289">
        <v>3604</v>
      </c>
      <c r="E1" s="289">
        <v>4076</v>
      </c>
      <c r="F1" s="289">
        <v>3620</v>
      </c>
      <c r="G1" s="290" t="s">
        <v>73</v>
      </c>
      <c r="H1" s="289">
        <v>4561</v>
      </c>
      <c r="I1" s="289" t="s">
        <v>74</v>
      </c>
      <c r="J1" s="291" t="s">
        <v>117</v>
      </c>
      <c r="K1" s="292" t="s">
        <v>75</v>
      </c>
      <c r="L1" s="292" t="s">
        <v>76</v>
      </c>
      <c r="M1" s="291" t="s">
        <v>77</v>
      </c>
      <c r="N1" s="291" t="s">
        <v>78</v>
      </c>
      <c r="O1" s="291" t="s">
        <v>79</v>
      </c>
      <c r="P1" s="291" t="s">
        <v>80</v>
      </c>
      <c r="Q1" s="291" t="s">
        <v>81</v>
      </c>
      <c r="R1" s="291" t="s">
        <v>82</v>
      </c>
      <c r="S1" s="291" t="s">
        <v>121</v>
      </c>
    </row>
    <row r="2" spans="1:19" s="121" customFormat="1" ht="28.8" x14ac:dyDescent="0.3">
      <c r="A2" s="293" t="s">
        <v>128</v>
      </c>
      <c r="B2" s="294"/>
      <c r="C2" s="295">
        <v>30</v>
      </c>
      <c r="D2" s="294">
        <v>77</v>
      </c>
      <c r="E2" s="294">
        <v>19.100000000000001</v>
      </c>
      <c r="F2" s="294">
        <v>50</v>
      </c>
      <c r="G2" s="295">
        <v>7.5</v>
      </c>
      <c r="H2" s="294" t="s">
        <v>129</v>
      </c>
      <c r="I2" s="294"/>
      <c r="J2" s="296"/>
      <c r="K2" s="291"/>
      <c r="L2" s="291"/>
      <c r="M2" s="291"/>
      <c r="N2" s="291"/>
      <c r="O2" s="291"/>
      <c r="P2" s="291"/>
      <c r="Q2" s="291"/>
      <c r="R2" s="291"/>
      <c r="S2" s="291"/>
    </row>
    <row r="3" spans="1:19" s="120" customFormat="1" x14ac:dyDescent="0.3">
      <c r="A3" s="288"/>
      <c r="B3" s="289"/>
      <c r="C3" s="290" t="s">
        <v>83</v>
      </c>
      <c r="D3" s="289" t="s">
        <v>84</v>
      </c>
      <c r="E3" s="289" t="s">
        <v>85</v>
      </c>
      <c r="F3" s="289" t="s">
        <v>86</v>
      </c>
      <c r="G3" s="290"/>
      <c r="H3" s="289" t="s">
        <v>87</v>
      </c>
      <c r="I3" s="289"/>
      <c r="J3" s="297"/>
      <c r="K3" s="292"/>
      <c r="L3" s="292"/>
      <c r="M3" s="291"/>
      <c r="N3" s="291"/>
      <c r="O3" s="291"/>
      <c r="P3" s="291"/>
      <c r="Q3" s="291"/>
      <c r="R3" s="291"/>
      <c r="S3" s="291"/>
    </row>
    <row r="4" spans="1:19" x14ac:dyDescent="0.3">
      <c r="A4" s="99" t="s">
        <v>88</v>
      </c>
      <c r="B4" s="100">
        <v>2025</v>
      </c>
      <c r="C4" s="101">
        <v>18.315000000000001</v>
      </c>
      <c r="D4" s="101">
        <v>25.946999999999999</v>
      </c>
      <c r="E4" s="101">
        <v>20.088000000000001</v>
      </c>
      <c r="F4" s="101">
        <v>17.457000000000001</v>
      </c>
      <c r="G4" s="101"/>
      <c r="H4" s="101">
        <v>23.161999999999999</v>
      </c>
      <c r="I4" s="101"/>
      <c r="J4" s="102"/>
      <c r="K4" s="101"/>
      <c r="L4" s="101"/>
      <c r="M4" s="103"/>
      <c r="N4" s="103"/>
      <c r="O4" s="103"/>
      <c r="P4" s="103"/>
      <c r="Q4" s="103"/>
      <c r="R4" s="103"/>
      <c r="S4" s="103"/>
    </row>
    <row r="5" spans="1:19" x14ac:dyDescent="0.3">
      <c r="A5" s="123" t="s">
        <v>88</v>
      </c>
      <c r="B5" s="124">
        <v>2026</v>
      </c>
      <c r="C5" s="104">
        <f>556.8/C2</f>
        <v>18.559999999999999</v>
      </c>
      <c r="D5" s="104">
        <v>26.933</v>
      </c>
      <c r="E5" s="134">
        <v>20.710999999999999</v>
      </c>
      <c r="F5" s="104">
        <v>18.12</v>
      </c>
      <c r="G5" s="104"/>
      <c r="H5" s="104">
        <v>23.88</v>
      </c>
      <c r="I5" s="104"/>
      <c r="J5" s="105"/>
      <c r="K5" s="104"/>
      <c r="L5" s="104"/>
      <c r="M5" s="106"/>
      <c r="N5" s="106"/>
      <c r="O5" s="106"/>
      <c r="P5" s="106"/>
      <c r="Q5" s="106"/>
      <c r="R5" s="106"/>
      <c r="S5" s="106"/>
    </row>
    <row r="6" spans="1:19" x14ac:dyDescent="0.3">
      <c r="A6" s="99" t="s">
        <v>122</v>
      </c>
      <c r="B6" s="100">
        <v>2025</v>
      </c>
      <c r="C6" s="101">
        <v>18.559999999999999</v>
      </c>
      <c r="D6" s="101">
        <v>26.293506493506491</v>
      </c>
      <c r="E6" s="101"/>
      <c r="F6" s="101">
        <v>17.694000000000003</v>
      </c>
      <c r="G6" s="101">
        <v>29.986666666666668</v>
      </c>
      <c r="H6" s="101"/>
      <c r="I6" s="101"/>
      <c r="J6" s="102"/>
      <c r="K6" s="101"/>
      <c r="L6" s="101"/>
      <c r="M6" s="103"/>
      <c r="N6" s="103"/>
      <c r="O6" s="103"/>
      <c r="P6" s="103"/>
      <c r="Q6" s="103"/>
      <c r="R6" s="103"/>
      <c r="S6" s="103"/>
    </row>
    <row r="7" spans="1:19" x14ac:dyDescent="0.3">
      <c r="A7" s="123" t="s">
        <v>122</v>
      </c>
      <c r="B7" s="124">
        <v>2026</v>
      </c>
      <c r="C7" s="134">
        <f>579.1/C2</f>
        <v>19.303333333333335</v>
      </c>
      <c r="D7" s="104">
        <f>2105.6/D2</f>
        <v>27.345454545454544</v>
      </c>
      <c r="E7" s="104"/>
      <c r="F7" s="104">
        <f>920.1/F2</f>
        <v>18.402000000000001</v>
      </c>
      <c r="G7" s="104">
        <f>233.9/G2</f>
        <v>31.186666666666667</v>
      </c>
      <c r="H7" s="104"/>
      <c r="I7" s="104"/>
      <c r="J7" s="105"/>
      <c r="K7" s="104"/>
      <c r="L7" s="104"/>
      <c r="M7" s="106"/>
      <c r="N7" s="106"/>
      <c r="O7" s="106"/>
      <c r="P7" s="106"/>
      <c r="Q7" s="106"/>
      <c r="R7" s="106"/>
      <c r="S7" s="106"/>
    </row>
    <row r="8" spans="1:19" x14ac:dyDescent="0.3">
      <c r="A8" s="99" t="s">
        <v>90</v>
      </c>
      <c r="B8" s="100">
        <v>2025</v>
      </c>
      <c r="C8" s="101">
        <v>17.748999999999999</v>
      </c>
      <c r="D8" s="101">
        <v>25.145</v>
      </c>
      <c r="E8" s="101">
        <v>19.943999999999999</v>
      </c>
      <c r="F8" s="101">
        <v>16.920000000000002</v>
      </c>
      <c r="G8" s="101"/>
      <c r="H8" s="101">
        <v>23</v>
      </c>
      <c r="I8" s="101"/>
      <c r="J8" s="102"/>
      <c r="K8" s="101"/>
      <c r="L8" s="101"/>
      <c r="M8" s="103"/>
      <c r="N8" s="103"/>
      <c r="O8" s="103"/>
      <c r="P8" s="103"/>
      <c r="Q8" s="103"/>
      <c r="R8" s="103"/>
      <c r="S8" s="103"/>
    </row>
    <row r="9" spans="1:19" x14ac:dyDescent="0.3">
      <c r="A9" s="123" t="s">
        <v>90</v>
      </c>
      <c r="B9" s="124">
        <v>2026</v>
      </c>
      <c r="C9" s="104">
        <v>18.422999999999998</v>
      </c>
      <c r="D9" s="104">
        <v>26.100999999999999</v>
      </c>
      <c r="E9" s="104">
        <v>20.702000000000002</v>
      </c>
      <c r="F9" s="104">
        <v>17.562999999999999</v>
      </c>
      <c r="G9" s="104">
        <f>223.3/G2</f>
        <v>29.773333333333333</v>
      </c>
      <c r="H9" s="104">
        <v>23.873999999999999</v>
      </c>
      <c r="I9" s="104"/>
      <c r="J9" s="105"/>
      <c r="K9" s="104"/>
      <c r="L9" s="104"/>
      <c r="M9" s="104"/>
      <c r="N9" s="104"/>
      <c r="O9" s="104"/>
      <c r="P9" s="104"/>
      <c r="Q9" s="106"/>
      <c r="R9" s="106"/>
      <c r="S9" s="106"/>
    </row>
    <row r="10" spans="1:19" x14ac:dyDescent="0.3">
      <c r="A10" s="99" t="s">
        <v>118</v>
      </c>
      <c r="B10" s="100">
        <v>2025</v>
      </c>
      <c r="C10" s="101">
        <v>18.001999999999999</v>
      </c>
      <c r="D10" s="101">
        <v>25.501000000000001</v>
      </c>
      <c r="E10" s="101">
        <v>20.228999999999999</v>
      </c>
      <c r="F10" s="101">
        <v>17.164000000000001</v>
      </c>
      <c r="G10" s="101"/>
      <c r="H10" s="101">
        <v>23.33</v>
      </c>
      <c r="I10" s="101"/>
      <c r="J10" s="102"/>
      <c r="K10" s="101"/>
      <c r="L10" s="101"/>
      <c r="M10" s="103"/>
      <c r="N10" s="103"/>
      <c r="O10" s="103"/>
      <c r="P10" s="103"/>
      <c r="Q10" s="103"/>
      <c r="R10" s="103"/>
      <c r="S10" s="103"/>
    </row>
    <row r="11" spans="1:19" x14ac:dyDescent="0.3">
      <c r="A11" s="123" t="s">
        <v>118</v>
      </c>
      <c r="B11" s="124">
        <v>2026</v>
      </c>
      <c r="C11" s="104">
        <v>18.722000000000001</v>
      </c>
      <c r="D11" s="104">
        <v>26.100999999999999</v>
      </c>
      <c r="E11" s="104">
        <v>21.038</v>
      </c>
      <c r="F11" s="104">
        <v>1.3409722222222222</v>
      </c>
      <c r="G11" s="104"/>
      <c r="H11" s="104">
        <v>24.263000000000002</v>
      </c>
      <c r="I11" s="104"/>
      <c r="J11" s="105"/>
      <c r="K11" s="104"/>
      <c r="L11" s="104"/>
      <c r="M11" s="106"/>
      <c r="N11" s="106"/>
      <c r="O11" s="106"/>
      <c r="P11" s="106"/>
      <c r="Q11" s="106"/>
      <c r="R11" s="106"/>
      <c r="S11" s="106"/>
    </row>
    <row r="12" spans="1:19" x14ac:dyDescent="0.3">
      <c r="A12" s="99" t="s">
        <v>229</v>
      </c>
      <c r="B12" s="100">
        <v>2025</v>
      </c>
      <c r="C12" s="101">
        <v>18.556666666666668</v>
      </c>
      <c r="D12" s="101">
        <v>26.290909090909093</v>
      </c>
      <c r="E12" s="101"/>
      <c r="F12" s="101">
        <v>17.687999999999999</v>
      </c>
      <c r="G12" s="101">
        <v>29.973333333333336</v>
      </c>
      <c r="H12" s="101">
        <v>24.752808988764045</v>
      </c>
      <c r="I12" s="101"/>
      <c r="J12" s="102"/>
      <c r="K12" s="101"/>
      <c r="L12" s="101"/>
      <c r="M12" s="103"/>
      <c r="N12" s="103"/>
      <c r="O12" s="103"/>
      <c r="P12" s="103"/>
      <c r="Q12" s="103"/>
      <c r="R12" s="103"/>
      <c r="S12" s="103"/>
    </row>
    <row r="13" spans="1:19" x14ac:dyDescent="0.3">
      <c r="A13" s="123" t="s">
        <v>229</v>
      </c>
      <c r="B13" s="124">
        <v>2026</v>
      </c>
      <c r="C13" s="104">
        <f>574/C2</f>
        <v>19.133333333333333</v>
      </c>
      <c r="D13" s="104">
        <f>2087.2/D2</f>
        <v>27.106493506493504</v>
      </c>
      <c r="E13" s="104">
        <f>281.5/E2</f>
        <v>14.738219895287957</v>
      </c>
      <c r="F13" s="104">
        <f>911.8/F2</f>
        <v>18.236000000000001</v>
      </c>
      <c r="G13" s="104">
        <f>231.8/G2</f>
        <v>30.90666666666667</v>
      </c>
      <c r="H13" s="104">
        <f>227.1/13.4</f>
        <v>16.947761194029852</v>
      </c>
      <c r="I13" s="104"/>
      <c r="J13" s="105"/>
      <c r="K13" s="104"/>
      <c r="L13" s="104"/>
      <c r="M13" s="106"/>
      <c r="N13" s="106"/>
      <c r="O13" s="106"/>
      <c r="P13" s="106"/>
      <c r="Q13" s="106"/>
      <c r="R13" s="106"/>
      <c r="S13" s="106"/>
    </row>
    <row r="14" spans="1:19" x14ac:dyDescent="0.3">
      <c r="A14" s="99" t="s">
        <v>92</v>
      </c>
      <c r="B14" s="100">
        <v>2025</v>
      </c>
      <c r="C14" s="101">
        <v>17.083333333333332</v>
      </c>
      <c r="D14" s="101">
        <v>24.207792207792206</v>
      </c>
      <c r="E14" s="101">
        <v>13.167539267015705</v>
      </c>
      <c r="F14" s="101">
        <v>16.284000000000002</v>
      </c>
      <c r="G14" s="101">
        <v>27.626666666666665</v>
      </c>
      <c r="H14" s="101">
        <v>22.797752808988765</v>
      </c>
      <c r="I14" s="101"/>
      <c r="J14" s="102"/>
      <c r="K14" s="101"/>
      <c r="L14" s="101"/>
      <c r="M14" s="103"/>
      <c r="N14" s="103"/>
      <c r="O14" s="103"/>
      <c r="P14" s="103"/>
      <c r="Q14" s="103"/>
      <c r="R14" s="103"/>
      <c r="S14" s="103"/>
    </row>
    <row r="15" spans="1:19" x14ac:dyDescent="0.3">
      <c r="A15" s="99" t="s">
        <v>93</v>
      </c>
      <c r="B15" s="100">
        <v>2025</v>
      </c>
      <c r="C15" s="101">
        <v>17.57</v>
      </c>
      <c r="D15" s="101">
        <v>24.888311688311688</v>
      </c>
      <c r="E15" s="101">
        <v>20.303664921465966</v>
      </c>
      <c r="F15" s="101">
        <v>16.748000000000001</v>
      </c>
      <c r="G15" s="101">
        <v>28.386666666666667</v>
      </c>
      <c r="H15" s="101">
        <v>23.499999999999996</v>
      </c>
      <c r="I15" s="101"/>
      <c r="J15" s="102"/>
      <c r="K15" s="101"/>
      <c r="L15" s="101"/>
      <c r="M15" s="103"/>
      <c r="N15" s="103"/>
      <c r="O15" s="103"/>
      <c r="P15" s="103"/>
      <c r="Q15" s="103"/>
      <c r="R15" s="103"/>
      <c r="S15" s="103"/>
    </row>
    <row r="16" spans="1:19" x14ac:dyDescent="0.3">
      <c r="A16" s="99" t="s">
        <v>94</v>
      </c>
      <c r="B16" s="100">
        <v>2025</v>
      </c>
      <c r="C16" s="101">
        <v>17.57</v>
      </c>
      <c r="D16" s="101">
        <v>24.888311688311688</v>
      </c>
      <c r="E16" s="101">
        <v>20.303664921465966</v>
      </c>
      <c r="F16" s="101">
        <v>16.748000000000001</v>
      </c>
      <c r="G16" s="101">
        <v>28.386666666666667</v>
      </c>
      <c r="H16" s="101">
        <v>23.499999999999996</v>
      </c>
      <c r="I16" s="101"/>
      <c r="J16" s="102"/>
      <c r="K16" s="101"/>
      <c r="L16" s="101"/>
      <c r="M16" s="103"/>
      <c r="N16" s="103"/>
      <c r="O16" s="103"/>
      <c r="P16" s="103"/>
      <c r="Q16" s="103"/>
      <c r="R16" s="103"/>
      <c r="S16" s="103"/>
    </row>
    <row r="17" spans="1:21" ht="86.4" x14ac:dyDescent="0.3">
      <c r="A17" s="107" t="s">
        <v>130</v>
      </c>
      <c r="B17" s="100">
        <v>2025</v>
      </c>
      <c r="C17" s="101">
        <v>18.376666666666665</v>
      </c>
      <c r="D17" s="101">
        <v>26.024675324675325</v>
      </c>
      <c r="E17" s="101">
        <v>21.240837696335078</v>
      </c>
      <c r="F17" s="101">
        <v>17.515999999999998</v>
      </c>
      <c r="G17" s="101">
        <v>29.706666666666667</v>
      </c>
      <c r="H17" s="101">
        <v>22.977611940298505</v>
      </c>
      <c r="I17" s="101"/>
      <c r="J17" s="102"/>
      <c r="K17" s="101">
        <v>0</v>
      </c>
      <c r="L17" s="101">
        <v>0</v>
      </c>
      <c r="M17" s="103">
        <v>0</v>
      </c>
      <c r="N17" s="103">
        <v>0</v>
      </c>
      <c r="O17" s="103">
        <v>0</v>
      </c>
      <c r="P17" s="103">
        <v>0</v>
      </c>
      <c r="Q17" s="103">
        <v>0</v>
      </c>
      <c r="R17" s="103">
        <v>0</v>
      </c>
      <c r="S17" s="103">
        <v>0</v>
      </c>
    </row>
    <row r="18" spans="1:21" x14ac:dyDescent="0.3">
      <c r="A18" s="99" t="s">
        <v>95</v>
      </c>
      <c r="B18" s="100">
        <v>2025</v>
      </c>
      <c r="C18" s="101">
        <v>19.046666666666667</v>
      </c>
      <c r="D18" s="101">
        <v>26.980519480519479</v>
      </c>
      <c r="E18" s="101">
        <v>14.680628272251306</v>
      </c>
      <c r="F18" s="101">
        <v>18.167999999999999</v>
      </c>
      <c r="G18" s="101">
        <v>30.746666666666666</v>
      </c>
      <c r="H18" s="101">
        <v>25.438202247191011</v>
      </c>
      <c r="I18" s="101"/>
      <c r="J18" s="102"/>
      <c r="K18" s="101"/>
      <c r="L18" s="101"/>
      <c r="M18" s="103"/>
      <c r="N18" s="103"/>
      <c r="O18" s="103"/>
      <c r="P18" s="103"/>
      <c r="Q18" s="103"/>
      <c r="R18" s="103"/>
      <c r="S18" s="103"/>
    </row>
    <row r="19" spans="1:21" x14ac:dyDescent="0.3">
      <c r="A19" s="99" t="s">
        <v>96</v>
      </c>
      <c r="B19" s="100">
        <v>2025</v>
      </c>
      <c r="C19" s="101">
        <v>24.326666666666664</v>
      </c>
      <c r="D19" s="101">
        <v>34.487012987012989</v>
      </c>
      <c r="E19" s="101">
        <v>28.136125654450257</v>
      </c>
      <c r="F19" s="101">
        <v>23.201999999999998</v>
      </c>
      <c r="G19" s="101">
        <v>39.373333333333335</v>
      </c>
      <c r="H19" s="101">
        <v>32.455223880597011</v>
      </c>
      <c r="I19" s="101"/>
      <c r="J19" s="102"/>
      <c r="K19" s="101"/>
      <c r="L19" s="101"/>
      <c r="M19" s="103"/>
      <c r="N19" s="103"/>
      <c r="O19" s="103"/>
      <c r="P19" s="103"/>
      <c r="Q19" s="103"/>
      <c r="R19" s="103"/>
      <c r="S19" s="103"/>
    </row>
    <row r="20" spans="1:21" x14ac:dyDescent="0.3">
      <c r="A20" s="99" t="s">
        <v>97</v>
      </c>
      <c r="B20" s="100">
        <v>2025</v>
      </c>
      <c r="C20" s="101">
        <v>24.326666666666664</v>
      </c>
      <c r="D20" s="101">
        <v>34.487012987012989</v>
      </c>
      <c r="E20" s="101">
        <v>28.136125654450257</v>
      </c>
      <c r="F20" s="101">
        <v>23.201999999999998</v>
      </c>
      <c r="G20" s="101">
        <v>39.373333333333335</v>
      </c>
      <c r="H20" s="101">
        <v>32.455223880597011</v>
      </c>
      <c r="I20" s="101"/>
      <c r="J20" s="102"/>
      <c r="K20" s="101"/>
      <c r="L20" s="101"/>
      <c r="M20" s="103"/>
      <c r="N20" s="103"/>
      <c r="O20" s="103"/>
      <c r="P20" s="103"/>
      <c r="Q20" s="103"/>
      <c r="R20" s="103"/>
      <c r="S20" s="103"/>
    </row>
    <row r="21" spans="1:21" ht="100.8" x14ac:dyDescent="0.3">
      <c r="A21" s="107" t="s">
        <v>98</v>
      </c>
      <c r="B21" s="100">
        <v>2025</v>
      </c>
      <c r="C21" s="101">
        <v>24.34</v>
      </c>
      <c r="D21" s="101">
        <v>34.487012987012989</v>
      </c>
      <c r="E21" s="101">
        <v>21.649214659685864</v>
      </c>
      <c r="F21" s="101">
        <v>23.204000000000001</v>
      </c>
      <c r="G21" s="101">
        <v>39.386666666666663</v>
      </c>
      <c r="H21" s="101">
        <v>24.96268656716418</v>
      </c>
      <c r="I21" s="101"/>
      <c r="J21" s="102"/>
      <c r="K21" s="101"/>
      <c r="L21" s="101"/>
      <c r="M21" s="103"/>
      <c r="N21" s="103"/>
      <c r="O21" s="103"/>
      <c r="P21" s="103"/>
      <c r="Q21" s="103"/>
      <c r="R21" s="103"/>
      <c r="S21" s="103"/>
    </row>
    <row r="22" spans="1:21" x14ac:dyDescent="0.3">
      <c r="A22" s="123" t="s">
        <v>92</v>
      </c>
      <c r="B22" s="124">
        <v>2026</v>
      </c>
      <c r="C22" s="104">
        <f>527.1/C2</f>
        <v>17.57</v>
      </c>
      <c r="D22" s="104">
        <f>1917.1/D2</f>
        <v>24.897402597402596</v>
      </c>
      <c r="E22" s="104">
        <f>258.7/E2</f>
        <v>13.544502617801045</v>
      </c>
      <c r="F22" s="104">
        <f>837.4/F2</f>
        <v>16.748000000000001</v>
      </c>
      <c r="G22" s="104">
        <f>213.1/G2</f>
        <v>28.413333333333334</v>
      </c>
      <c r="H22" s="104">
        <f>208.7/8.9</f>
        <v>23.44943820224719</v>
      </c>
      <c r="I22" s="104"/>
      <c r="J22" s="105"/>
      <c r="K22" s="104"/>
      <c r="L22" s="104"/>
      <c r="M22" s="106"/>
      <c r="N22" s="106"/>
      <c r="O22" s="106"/>
      <c r="P22" s="106"/>
      <c r="Q22" s="106"/>
      <c r="R22" s="106"/>
      <c r="S22" s="106"/>
    </row>
    <row r="23" spans="1:21" x14ac:dyDescent="0.3">
      <c r="A23" s="123" t="s">
        <v>93</v>
      </c>
      <c r="B23" s="124">
        <v>2026</v>
      </c>
      <c r="C23" s="104">
        <f>542.1/C2</f>
        <v>18.07</v>
      </c>
      <c r="D23" s="104">
        <f>1971/D2</f>
        <v>25.597402597402599</v>
      </c>
      <c r="E23" s="104">
        <f>398.9/E2</f>
        <v>20.8848167539267</v>
      </c>
      <c r="F23" s="104">
        <f>861.3/F2</f>
        <v>17.225999999999999</v>
      </c>
      <c r="G23" s="104">
        <f>219/G2</f>
        <v>29.2</v>
      </c>
      <c r="H23" s="104">
        <f>322.9/13.4</f>
        <v>24.097014925373131</v>
      </c>
      <c r="I23" s="104"/>
      <c r="J23" s="105"/>
      <c r="K23" s="104"/>
      <c r="L23" s="104"/>
      <c r="M23" s="106"/>
      <c r="N23" s="106"/>
      <c r="O23" s="106"/>
      <c r="P23" s="106"/>
      <c r="Q23" s="106"/>
      <c r="R23" s="106"/>
      <c r="S23" s="106"/>
    </row>
    <row r="24" spans="1:21" x14ac:dyDescent="0.3">
      <c r="A24" s="123" t="s">
        <v>94</v>
      </c>
      <c r="B24" s="124">
        <v>2026</v>
      </c>
      <c r="C24" s="225">
        <v>18.07</v>
      </c>
      <c r="D24" s="225">
        <v>25.597402597402599</v>
      </c>
      <c r="E24" s="225">
        <v>20.8848167539267</v>
      </c>
      <c r="F24" s="225">
        <v>17.225999999999999</v>
      </c>
      <c r="G24" s="225">
        <v>29.2</v>
      </c>
      <c r="H24" s="225">
        <v>24.097014925373131</v>
      </c>
      <c r="I24" s="104"/>
      <c r="J24" s="105"/>
      <c r="K24" s="104"/>
      <c r="L24" s="104"/>
      <c r="M24" s="106"/>
      <c r="N24" s="106"/>
      <c r="O24" s="106"/>
      <c r="P24" s="106"/>
      <c r="Q24" s="106"/>
      <c r="R24" s="106"/>
      <c r="S24" s="106"/>
    </row>
    <row r="25" spans="1:21" ht="86.4" x14ac:dyDescent="0.3">
      <c r="A25" s="125" t="s">
        <v>130</v>
      </c>
      <c r="B25" s="124">
        <v>2026</v>
      </c>
      <c r="C25" s="104">
        <f>568.4/C2</f>
        <v>18.946666666666665</v>
      </c>
      <c r="D25" s="104">
        <f>2066/D2</f>
        <v>26.831168831168831</v>
      </c>
      <c r="E25" s="104">
        <f>418.3/E2</f>
        <v>21.900523560209422</v>
      </c>
      <c r="F25" s="104">
        <f>902.9/F2</f>
        <v>18.058</v>
      </c>
      <c r="G25" s="104">
        <f>229.7/G2</f>
        <v>30.626666666666665</v>
      </c>
      <c r="H25" s="104">
        <f>338.3/13.4</f>
        <v>25.246268656716417</v>
      </c>
      <c r="I25" s="104"/>
      <c r="J25" s="104"/>
      <c r="K25" s="104">
        <f t="shared" ref="K25:S25" si="0">K31:Z31</f>
        <v>0</v>
      </c>
      <c r="L25" s="104">
        <f t="shared" si="0"/>
        <v>0</v>
      </c>
      <c r="M25" s="104">
        <f t="shared" si="0"/>
        <v>0</v>
      </c>
      <c r="N25" s="104">
        <f t="shared" si="0"/>
        <v>0</v>
      </c>
      <c r="O25" s="104">
        <f t="shared" si="0"/>
        <v>0</v>
      </c>
      <c r="P25" s="104">
        <f t="shared" si="0"/>
        <v>0</v>
      </c>
      <c r="Q25" s="104">
        <f t="shared" si="0"/>
        <v>0</v>
      </c>
      <c r="R25" s="104">
        <f t="shared" si="0"/>
        <v>0</v>
      </c>
      <c r="S25" s="104">
        <f t="shared" si="0"/>
        <v>0</v>
      </c>
    </row>
    <row r="26" spans="1:21" x14ac:dyDescent="0.3">
      <c r="A26" s="123" t="s">
        <v>95</v>
      </c>
      <c r="B26" s="124">
        <v>2026</v>
      </c>
      <c r="C26" s="104">
        <f>589.1/C2</f>
        <v>19.636666666666667</v>
      </c>
      <c r="D26" s="104">
        <f>2141.9/D2</f>
        <v>27.816883116883119</v>
      </c>
      <c r="E26" s="104">
        <f>289.1/E2</f>
        <v>15.136125654450263</v>
      </c>
      <c r="F26" s="104">
        <f>936.1/F2</f>
        <v>18.722000000000001</v>
      </c>
      <c r="G26" s="104">
        <f>237.7/G2</f>
        <v>31.693333333333332</v>
      </c>
      <c r="H26" s="104">
        <f>233.4/8.9</f>
        <v>26.224719101123593</v>
      </c>
      <c r="I26" s="104"/>
      <c r="J26" s="105"/>
      <c r="K26" s="104"/>
      <c r="L26" s="104"/>
      <c r="M26" s="106"/>
      <c r="N26" s="106"/>
      <c r="O26" s="106"/>
      <c r="P26" s="106"/>
      <c r="Q26" s="106"/>
      <c r="R26" s="106"/>
      <c r="S26" s="106"/>
    </row>
    <row r="27" spans="1:21" x14ac:dyDescent="0.3">
      <c r="A27" s="123" t="s">
        <v>96</v>
      </c>
      <c r="B27" s="124">
        <v>2026</v>
      </c>
      <c r="C27" s="225">
        <v>25.08</v>
      </c>
      <c r="D27" s="225">
        <v>35.555844155844156</v>
      </c>
      <c r="E27" s="225">
        <v>29.01047120418848</v>
      </c>
      <c r="F27" s="225">
        <v>23.921999999999997</v>
      </c>
      <c r="G27" s="225">
        <v>40.6</v>
      </c>
      <c r="H27" s="225">
        <v>33.462686567164177</v>
      </c>
      <c r="I27" s="104"/>
      <c r="J27" s="105"/>
      <c r="K27" s="104"/>
      <c r="L27" s="104"/>
      <c r="M27" s="106"/>
      <c r="N27" s="106"/>
      <c r="O27" s="106"/>
      <c r="P27" s="106"/>
      <c r="Q27" s="106"/>
      <c r="R27" s="106"/>
      <c r="S27" s="106"/>
    </row>
    <row r="28" spans="1:21" x14ac:dyDescent="0.3">
      <c r="A28" s="123" t="s">
        <v>97</v>
      </c>
      <c r="B28" s="124">
        <v>2026</v>
      </c>
      <c r="C28" s="104">
        <f>752.4/C2</f>
        <v>25.08</v>
      </c>
      <c r="D28" s="104">
        <f>2737.8/D2</f>
        <v>35.555844155844156</v>
      </c>
      <c r="E28" s="104">
        <f>554.1/E2</f>
        <v>29.01047120418848</v>
      </c>
      <c r="F28" s="104">
        <f>1196.1/F2</f>
        <v>23.921999999999997</v>
      </c>
      <c r="G28" s="104">
        <f>304.5/G2</f>
        <v>40.6</v>
      </c>
      <c r="H28" s="104">
        <f>448.4/13.4</f>
        <v>33.462686567164177</v>
      </c>
      <c r="I28" s="104"/>
      <c r="J28" s="105"/>
      <c r="K28" s="104"/>
      <c r="L28" s="104"/>
      <c r="M28" s="106"/>
      <c r="N28" s="106"/>
      <c r="O28" s="106"/>
      <c r="P28" s="106"/>
      <c r="Q28" s="106"/>
      <c r="R28" s="106"/>
      <c r="S28" s="106"/>
    </row>
    <row r="29" spans="1:21" ht="100.8" x14ac:dyDescent="0.3">
      <c r="A29" s="125" t="s">
        <v>233</v>
      </c>
      <c r="B29" s="124">
        <v>2026</v>
      </c>
      <c r="C29" s="104">
        <f>752.8/C2</f>
        <v>25.09333333333333</v>
      </c>
      <c r="D29" s="104">
        <f>2737.8/D2</f>
        <v>35.555844155844156</v>
      </c>
      <c r="E29" s="104">
        <f>426.3/E2</f>
        <v>22.319371727748688</v>
      </c>
      <c r="F29" s="104">
        <f>1196.2/F2</f>
        <v>23.923999999999999</v>
      </c>
      <c r="G29" s="104">
        <f>304.6/G2</f>
        <v>40.613333333333337</v>
      </c>
      <c r="H29" s="104">
        <f>344.9/13.4</f>
        <v>25.738805970149251</v>
      </c>
      <c r="I29" s="104"/>
      <c r="J29" s="105"/>
      <c r="K29" s="104"/>
      <c r="L29" s="104"/>
      <c r="M29" s="106"/>
      <c r="N29" s="106"/>
      <c r="O29" s="106"/>
      <c r="P29" s="106"/>
      <c r="Q29" s="106"/>
      <c r="R29" s="106"/>
      <c r="S29" s="106"/>
      <c r="U29" s="276"/>
    </row>
    <row r="30" spans="1:21" x14ac:dyDescent="0.3">
      <c r="A30" s="99" t="s">
        <v>99</v>
      </c>
      <c r="B30" s="100">
        <v>2025</v>
      </c>
      <c r="C30" s="101"/>
      <c r="D30" s="101"/>
      <c r="E30" s="101"/>
      <c r="F30" s="101"/>
      <c r="G30" s="101"/>
      <c r="H30" s="101"/>
      <c r="I30" s="101"/>
      <c r="J30" s="102"/>
      <c r="K30" s="101"/>
      <c r="L30" s="101"/>
      <c r="M30" s="103"/>
      <c r="N30" s="103"/>
      <c r="O30" s="103"/>
      <c r="P30" s="103"/>
      <c r="Q30" s="103"/>
      <c r="R30" s="103"/>
      <c r="S30" s="103"/>
    </row>
    <row r="31" spans="1:21" x14ac:dyDescent="0.3">
      <c r="A31" s="123" t="s">
        <v>99</v>
      </c>
      <c r="B31" s="124">
        <v>2026</v>
      </c>
      <c r="C31" s="104"/>
      <c r="D31" s="104"/>
      <c r="E31" s="104"/>
      <c r="F31" s="104"/>
      <c r="G31" s="104"/>
      <c r="H31" s="104"/>
      <c r="I31" s="104"/>
      <c r="J31" s="105"/>
      <c r="K31" s="104"/>
      <c r="L31" s="104"/>
      <c r="M31" s="106"/>
      <c r="N31" s="106"/>
      <c r="O31" s="106"/>
      <c r="P31" s="106"/>
      <c r="Q31" s="106"/>
      <c r="R31" s="106"/>
      <c r="S31" s="106"/>
    </row>
    <row r="32" spans="1:21" x14ac:dyDescent="0.3">
      <c r="A32" s="99" t="s">
        <v>100</v>
      </c>
      <c r="B32" s="100">
        <v>2025</v>
      </c>
      <c r="C32" s="101">
        <v>19.366</v>
      </c>
      <c r="D32" s="101">
        <v>27.433</v>
      </c>
      <c r="E32" s="101">
        <v>22.388000000000002</v>
      </c>
      <c r="F32" s="101">
        <v>18.46</v>
      </c>
      <c r="G32" s="101"/>
      <c r="H32" s="101">
        <v>25.82</v>
      </c>
      <c r="I32" s="101">
        <v>31.271999999999998</v>
      </c>
      <c r="J32" s="102">
        <v>35.058</v>
      </c>
      <c r="K32" s="101"/>
      <c r="L32" s="101"/>
      <c r="M32" s="103"/>
      <c r="N32" s="103"/>
      <c r="O32" s="103"/>
      <c r="P32" s="103"/>
      <c r="Q32" s="103"/>
      <c r="R32" s="103"/>
      <c r="S32" s="103"/>
    </row>
    <row r="33" spans="1:19" x14ac:dyDescent="0.3">
      <c r="A33" s="123" t="s">
        <v>100</v>
      </c>
      <c r="B33" s="124">
        <v>2026</v>
      </c>
      <c r="C33" s="104">
        <f>C32*1.039</f>
        <v>20.121274</v>
      </c>
      <c r="D33" s="104">
        <f t="shared" ref="D33:H33" si="1">D32*1.039</f>
        <v>28.502886999999998</v>
      </c>
      <c r="E33" s="104">
        <f t="shared" si="1"/>
        <v>23.261132</v>
      </c>
      <c r="F33" s="104">
        <f t="shared" si="1"/>
        <v>19.179939999999998</v>
      </c>
      <c r="G33" s="104">
        <f t="shared" si="1"/>
        <v>0</v>
      </c>
      <c r="H33" s="104">
        <f t="shared" si="1"/>
        <v>26.826979999999999</v>
      </c>
      <c r="I33" s="104" t="s">
        <v>234</v>
      </c>
      <c r="J33" s="105" t="s">
        <v>235</v>
      </c>
      <c r="K33" s="104"/>
      <c r="L33" s="104"/>
      <c r="M33" s="106"/>
      <c r="N33" s="106"/>
      <c r="O33" s="106"/>
      <c r="P33" s="106"/>
      <c r="Q33" s="106"/>
      <c r="R33" s="106"/>
      <c r="S33" s="106"/>
    </row>
    <row r="34" spans="1:19" x14ac:dyDescent="0.3">
      <c r="A34" s="99" t="s">
        <v>140</v>
      </c>
      <c r="B34" s="100">
        <v>2025</v>
      </c>
      <c r="C34" s="101">
        <v>19.276666666666664</v>
      </c>
      <c r="D34" s="101">
        <v>27.302597402597407</v>
      </c>
      <c r="E34" s="101">
        <v>14.848167539267015</v>
      </c>
      <c r="F34" s="101">
        <v>18.37</v>
      </c>
      <c r="G34" s="101">
        <v>31.106666666666669</v>
      </c>
      <c r="H34" s="101">
        <v>13.134328358208954</v>
      </c>
      <c r="I34" s="101"/>
      <c r="J34" s="102"/>
      <c r="K34" s="101"/>
      <c r="L34" s="101"/>
      <c r="M34" s="103"/>
      <c r="N34" s="103"/>
      <c r="O34" s="103"/>
      <c r="P34" s="103"/>
      <c r="Q34" s="103"/>
      <c r="R34" s="103"/>
      <c r="S34" s="103"/>
    </row>
    <row r="35" spans="1:19" x14ac:dyDescent="0.3">
      <c r="A35" s="123" t="s">
        <v>140</v>
      </c>
      <c r="B35" s="124">
        <v>2026</v>
      </c>
      <c r="C35" s="104">
        <f>785.7/C2</f>
        <v>26.19</v>
      </c>
      <c r="D35" s="104">
        <f>2865/D2</f>
        <v>37.20779220779221</v>
      </c>
      <c r="E35" s="104">
        <f>296.7/E2</f>
        <v>15.534031413612563</v>
      </c>
      <c r="F35" s="104">
        <f>1247.8/F2</f>
        <v>24.956</v>
      </c>
      <c r="G35" s="104">
        <f>317.1/G2</f>
        <v>42.28</v>
      </c>
      <c r="H35" s="104">
        <f>239.1/13.4</f>
        <v>17.843283582089551</v>
      </c>
      <c r="I35" s="104"/>
      <c r="J35" s="105"/>
      <c r="K35" s="104"/>
      <c r="L35" s="104"/>
      <c r="M35" s="106"/>
      <c r="N35" s="106"/>
      <c r="O35" s="106"/>
      <c r="P35" s="106"/>
      <c r="Q35" s="106"/>
      <c r="R35" s="106"/>
      <c r="S35" s="106"/>
    </row>
    <row r="36" spans="1:19" x14ac:dyDescent="0.3">
      <c r="A36" s="99" t="s">
        <v>230</v>
      </c>
      <c r="B36" s="100">
        <v>2025</v>
      </c>
      <c r="C36" s="205">
        <v>18.7</v>
      </c>
      <c r="D36" s="101">
        <v>26.498701298701299</v>
      </c>
      <c r="E36" s="101">
        <v>14.418848167539265</v>
      </c>
      <c r="F36" s="101">
        <v>17.832000000000001</v>
      </c>
      <c r="G36" s="101"/>
      <c r="H36" s="101">
        <v>16.380597014925371</v>
      </c>
      <c r="I36" s="101"/>
      <c r="J36" s="102"/>
      <c r="K36" s="101"/>
      <c r="L36" s="101"/>
      <c r="M36" s="103"/>
      <c r="N36" s="103"/>
      <c r="O36" s="103"/>
      <c r="P36" s="103"/>
      <c r="Q36" s="103"/>
      <c r="R36" s="103"/>
      <c r="S36" s="103"/>
    </row>
    <row r="37" spans="1:19" x14ac:dyDescent="0.3">
      <c r="A37" s="123" t="s">
        <v>230</v>
      </c>
      <c r="B37" s="124">
        <v>2026</v>
      </c>
      <c r="C37" s="206">
        <f>584.6/C2</f>
        <v>19.486666666666668</v>
      </c>
      <c r="D37" s="104">
        <f>2126.1/D2</f>
        <v>27.611688311688312</v>
      </c>
      <c r="E37" s="104">
        <f>287/E2</f>
        <v>15.026178010471202</v>
      </c>
      <c r="F37" s="104">
        <f>929/F2</f>
        <v>18.579999999999998</v>
      </c>
      <c r="G37" s="104"/>
      <c r="H37" s="104">
        <f>228.7/13.4</f>
        <v>17.067164179104477</v>
      </c>
      <c r="I37" s="104"/>
      <c r="J37" s="105"/>
      <c r="K37" s="104"/>
      <c r="L37" s="104"/>
      <c r="M37" s="106"/>
      <c r="N37" s="106"/>
      <c r="O37" s="106"/>
      <c r="P37" s="106"/>
      <c r="Q37" s="106"/>
      <c r="R37" s="106"/>
      <c r="S37" s="106"/>
    </row>
    <row r="38" spans="1:19" x14ac:dyDescent="0.3">
      <c r="A38" s="99" t="s">
        <v>101</v>
      </c>
      <c r="B38" s="100">
        <v>2025</v>
      </c>
      <c r="C38" s="205">
        <v>18.323333333333334</v>
      </c>
      <c r="D38" s="101">
        <v>25.796103896103894</v>
      </c>
      <c r="E38" s="101">
        <v>18.178010471204185</v>
      </c>
      <c r="F38" s="101">
        <v>17.36</v>
      </c>
      <c r="G38" s="101"/>
      <c r="H38" s="101">
        <v>20.955223880597014</v>
      </c>
      <c r="I38" s="101"/>
      <c r="J38" s="102"/>
      <c r="K38" s="101"/>
      <c r="L38" s="101"/>
      <c r="M38" s="103"/>
      <c r="N38" s="103"/>
      <c r="O38" s="103"/>
      <c r="P38" s="103"/>
      <c r="Q38" s="103"/>
      <c r="R38" s="103"/>
      <c r="S38" s="103"/>
    </row>
    <row r="39" spans="1:19" x14ac:dyDescent="0.3">
      <c r="A39" s="123" t="s">
        <v>101</v>
      </c>
      <c r="B39" s="124">
        <v>2026</v>
      </c>
      <c r="C39" s="206">
        <f>568.4/C2</f>
        <v>18.946666666666665</v>
      </c>
      <c r="D39" s="104">
        <f>2107.3/D2</f>
        <v>27.36753246753247</v>
      </c>
      <c r="E39" s="104">
        <f>354.1/E2</f>
        <v>18.539267015706805</v>
      </c>
      <c r="F39" s="104">
        <f>920.8/F2</f>
        <v>18.416</v>
      </c>
      <c r="G39" s="104">
        <f>229.47/G2</f>
        <v>30.596</v>
      </c>
      <c r="H39" s="104">
        <f>286.4/13.4</f>
        <v>21.373134328358205</v>
      </c>
      <c r="I39" s="104"/>
      <c r="J39" s="105"/>
      <c r="K39" s="104"/>
      <c r="L39" s="104"/>
      <c r="M39" s="106"/>
      <c r="N39" s="106"/>
      <c r="O39" s="106"/>
      <c r="P39" s="106"/>
      <c r="Q39" s="106"/>
      <c r="R39" s="106"/>
      <c r="S39" s="106"/>
    </row>
    <row r="40" spans="1:19" x14ac:dyDescent="0.3">
      <c r="A40" s="99" t="s">
        <v>102</v>
      </c>
      <c r="B40" s="100">
        <v>2025</v>
      </c>
      <c r="C40" s="205">
        <v>18.247</v>
      </c>
      <c r="D40" s="101">
        <v>25.849</v>
      </c>
      <c r="E40" s="101">
        <v>21.094999999999999</v>
      </c>
      <c r="F40" s="101">
        <v>17.73</v>
      </c>
      <c r="G40" s="101"/>
      <c r="H40" s="101">
        <v>24.798999999999999</v>
      </c>
      <c r="I40" s="101">
        <v>29.465</v>
      </c>
      <c r="J40" s="102">
        <v>33.671999999999997</v>
      </c>
      <c r="K40" s="101"/>
      <c r="L40" s="101"/>
      <c r="M40" s="103"/>
      <c r="N40" s="103"/>
      <c r="O40" s="103"/>
      <c r="P40" s="103"/>
      <c r="Q40" s="103"/>
      <c r="R40" s="103"/>
      <c r="S40" s="103"/>
    </row>
    <row r="41" spans="1:19" x14ac:dyDescent="0.3">
      <c r="A41" s="123" t="s">
        <v>102</v>
      </c>
      <c r="B41" s="124">
        <v>2026</v>
      </c>
      <c r="C41" s="206">
        <f>C40*1.045</f>
        <v>19.068114999999999</v>
      </c>
      <c r="D41" s="206">
        <f t="shared" ref="D41:H41" si="2">D40*1.045</f>
        <v>27.012204999999998</v>
      </c>
      <c r="E41" s="206">
        <f t="shared" si="2"/>
        <v>22.044274999999999</v>
      </c>
      <c r="F41" s="206">
        <f t="shared" si="2"/>
        <v>18.527850000000001</v>
      </c>
      <c r="G41" s="206">
        <f t="shared" si="2"/>
        <v>0</v>
      </c>
      <c r="H41" s="206">
        <f t="shared" si="2"/>
        <v>25.914954999999999</v>
      </c>
      <c r="I41" s="104">
        <v>30.791</v>
      </c>
      <c r="J41" s="105">
        <v>35.186999999999998</v>
      </c>
      <c r="K41" s="104"/>
      <c r="L41" s="104"/>
      <c r="M41" s="106"/>
      <c r="N41" s="106"/>
      <c r="O41" s="106"/>
      <c r="P41" s="106"/>
      <c r="Q41" s="106"/>
      <c r="R41" s="106"/>
      <c r="S41" s="106"/>
    </row>
    <row r="42" spans="1:19" x14ac:dyDescent="0.3">
      <c r="A42" s="99" t="s">
        <v>103</v>
      </c>
      <c r="B42" s="100">
        <v>2025</v>
      </c>
      <c r="C42" s="205">
        <v>71.889699224999987</v>
      </c>
      <c r="D42" s="108"/>
      <c r="E42" s="108"/>
      <c r="F42" s="108"/>
      <c r="G42" s="108"/>
      <c r="H42" s="108"/>
      <c r="I42" s="108"/>
      <c r="J42" s="102"/>
      <c r="K42" s="109">
        <v>57.13111509838447</v>
      </c>
      <c r="L42" s="109">
        <v>56.761625839940997</v>
      </c>
      <c r="M42" s="126">
        <v>1112676.9217453124</v>
      </c>
      <c r="N42" s="126">
        <v>155</v>
      </c>
      <c r="O42" s="126">
        <v>282</v>
      </c>
      <c r="P42" s="126">
        <v>267</v>
      </c>
      <c r="Q42" s="126">
        <v>462</v>
      </c>
      <c r="R42" s="126">
        <v>447</v>
      </c>
      <c r="S42" s="126"/>
    </row>
    <row r="43" spans="1:19" x14ac:dyDescent="0.3">
      <c r="A43" s="123" t="s">
        <v>103</v>
      </c>
      <c r="B43" s="124">
        <v>2026</v>
      </c>
      <c r="C43" s="144">
        <f>C42*1.047</f>
        <v>75.268515088574986</v>
      </c>
      <c r="D43" s="127"/>
      <c r="E43" s="127"/>
      <c r="F43" s="127"/>
      <c r="G43" s="127"/>
      <c r="H43" s="127"/>
      <c r="I43" s="127"/>
      <c r="J43" s="105"/>
      <c r="K43" s="110">
        <f>($M43/$N43+O43*$C43)/Q43</f>
        <v>61.978346289104522</v>
      </c>
      <c r="L43" s="110">
        <f>($M43/$N43+P43*$C43)/R43</f>
        <v>61.532367470330342</v>
      </c>
      <c r="M43" s="128">
        <f>675300*1.15*1.125*1.125*1.07*1.058*1.032</f>
        <v>1148282.5832411624</v>
      </c>
      <c r="N43" s="224">
        <v>155</v>
      </c>
      <c r="O43" s="224">
        <v>282</v>
      </c>
      <c r="P43" s="224">
        <v>267</v>
      </c>
      <c r="Q43" s="224">
        <v>462</v>
      </c>
      <c r="R43" s="224">
        <v>447</v>
      </c>
      <c r="S43" s="106"/>
    </row>
    <row r="44" spans="1:19" x14ac:dyDescent="0.3">
      <c r="A44" s="99" t="s">
        <v>104</v>
      </c>
      <c r="B44" s="100">
        <v>2025</v>
      </c>
      <c r="C44" s="205">
        <v>61.814602199999996</v>
      </c>
      <c r="D44" s="108"/>
      <c r="E44" s="108"/>
      <c r="F44" s="108"/>
      <c r="G44" s="108"/>
      <c r="H44" s="108"/>
      <c r="I44" s="108"/>
      <c r="J44" s="102"/>
      <c r="K44" s="101"/>
      <c r="L44" s="101"/>
      <c r="M44" s="103"/>
      <c r="N44" s="103"/>
      <c r="O44" s="103"/>
      <c r="P44" s="103"/>
      <c r="Q44" s="103"/>
      <c r="R44" s="103"/>
      <c r="S44" s="103"/>
    </row>
    <row r="45" spans="1:19" x14ac:dyDescent="0.3">
      <c r="A45" s="123" t="s">
        <v>104</v>
      </c>
      <c r="B45" s="124">
        <v>2026</v>
      </c>
      <c r="C45" s="144">
        <f>C44*1.047</f>
        <v>64.719888503399986</v>
      </c>
      <c r="D45" s="127"/>
      <c r="E45" s="127"/>
      <c r="F45" s="127"/>
      <c r="G45" s="127"/>
      <c r="H45" s="127"/>
      <c r="I45" s="127"/>
      <c r="J45" s="105"/>
      <c r="K45" s="104"/>
      <c r="L45" s="104"/>
      <c r="M45" s="106"/>
      <c r="N45" s="106"/>
      <c r="O45" s="106"/>
      <c r="P45" s="106"/>
      <c r="Q45" s="106"/>
      <c r="R45" s="106"/>
      <c r="S45" s="106"/>
    </row>
    <row r="46" spans="1:19" x14ac:dyDescent="0.3">
      <c r="A46" s="99" t="s">
        <v>105</v>
      </c>
      <c r="B46" s="100">
        <v>2025</v>
      </c>
      <c r="C46" s="205">
        <v>56.467508774999992</v>
      </c>
      <c r="D46" s="108"/>
      <c r="E46" s="108"/>
      <c r="F46" s="108"/>
      <c r="G46" s="108"/>
      <c r="H46" s="108"/>
      <c r="I46" s="108"/>
      <c r="J46" s="102"/>
      <c r="K46" s="109">
        <v>48.208323799683178</v>
      </c>
      <c r="L46" s="109">
        <v>48.029955303028245</v>
      </c>
      <c r="M46" s="126">
        <v>1112676.9217453124</v>
      </c>
      <c r="N46" s="126">
        <v>155</v>
      </c>
      <c r="O46" s="126">
        <v>282</v>
      </c>
      <c r="P46" s="126">
        <v>267</v>
      </c>
      <c r="Q46" s="126">
        <v>462</v>
      </c>
      <c r="R46" s="126">
        <v>447</v>
      </c>
      <c r="S46" s="126"/>
    </row>
    <row r="47" spans="1:19" x14ac:dyDescent="0.3">
      <c r="A47" s="123" t="s">
        <v>105</v>
      </c>
      <c r="B47" s="124">
        <v>2026</v>
      </c>
      <c r="C47" s="144">
        <f>C46*1.047</f>
        <v>59.121481687424989</v>
      </c>
      <c r="D47" s="127"/>
      <c r="E47" s="127"/>
      <c r="F47" s="127"/>
      <c r="G47" s="127"/>
      <c r="H47" s="127"/>
      <c r="I47" s="127"/>
      <c r="J47" s="105"/>
      <c r="K47" s="110">
        <f>($M47/$N47+O47*$C47)/Q47</f>
        <v>52.122364862428562</v>
      </c>
      <c r="L47" s="110">
        <f>($M47/$N47+P47*$C47)/R47</f>
        <v>51.88749517031458</v>
      </c>
      <c r="M47" s="224">
        <f>M43</f>
        <v>1148282.5832411624</v>
      </c>
      <c r="N47" s="224">
        <v>155</v>
      </c>
      <c r="O47" s="224">
        <v>282</v>
      </c>
      <c r="P47" s="224">
        <v>267</v>
      </c>
      <c r="Q47" s="224">
        <v>462</v>
      </c>
      <c r="R47" s="224">
        <v>447</v>
      </c>
      <c r="S47" s="106"/>
    </row>
    <row r="48" spans="1:19" x14ac:dyDescent="0.3">
      <c r="A48" s="111"/>
      <c r="B48" s="112"/>
      <c r="C48" s="113"/>
      <c r="D48" s="113"/>
      <c r="E48" s="113"/>
      <c r="F48" s="113"/>
      <c r="G48" s="113"/>
      <c r="H48" s="113"/>
      <c r="I48" s="113"/>
      <c r="J48" s="129"/>
      <c r="K48" s="114"/>
      <c r="L48" s="114"/>
      <c r="M48" s="130"/>
      <c r="N48" s="130"/>
      <c r="O48" s="130"/>
      <c r="P48" s="130"/>
      <c r="Q48" s="130"/>
      <c r="R48" s="130"/>
      <c r="S48" s="130"/>
    </row>
    <row r="49" spans="1:19" x14ac:dyDescent="0.3">
      <c r="A49" s="99" t="s">
        <v>123</v>
      </c>
      <c r="B49" s="100">
        <v>2025</v>
      </c>
      <c r="C49" s="101"/>
      <c r="D49" s="101"/>
      <c r="E49" s="101"/>
      <c r="F49" s="101"/>
      <c r="G49" s="101"/>
      <c r="H49" s="101"/>
      <c r="I49" s="108"/>
      <c r="J49" s="102"/>
      <c r="K49" s="101"/>
      <c r="L49" s="101"/>
      <c r="M49" s="103"/>
      <c r="N49" s="103"/>
      <c r="O49" s="103"/>
      <c r="P49" s="103"/>
      <c r="Q49" s="103"/>
      <c r="R49" s="103"/>
      <c r="S49" s="103"/>
    </row>
    <row r="50" spans="1:19" x14ac:dyDescent="0.3">
      <c r="A50" s="123" t="s">
        <v>123</v>
      </c>
      <c r="B50" s="124">
        <v>2026</v>
      </c>
      <c r="C50" s="104"/>
      <c r="D50" s="104"/>
      <c r="E50" s="104"/>
      <c r="F50" s="104"/>
      <c r="G50" s="104"/>
      <c r="H50" s="104"/>
      <c r="I50" s="127"/>
      <c r="J50" s="105"/>
      <c r="K50" s="104"/>
      <c r="L50" s="104"/>
      <c r="M50" s="106"/>
      <c r="N50" s="106"/>
      <c r="O50" s="106"/>
      <c r="P50" s="106"/>
      <c r="Q50" s="106"/>
      <c r="R50" s="106"/>
      <c r="S50" s="106"/>
    </row>
    <row r="51" spans="1:19" x14ac:dyDescent="0.3">
      <c r="A51" s="99" t="s">
        <v>124</v>
      </c>
      <c r="B51" s="100">
        <v>2025</v>
      </c>
      <c r="C51" s="101"/>
      <c r="D51" s="101"/>
      <c r="E51" s="101"/>
      <c r="F51" s="101"/>
      <c r="G51" s="101"/>
      <c r="H51" s="101"/>
      <c r="I51" s="108"/>
      <c r="J51" s="102"/>
      <c r="K51" s="101"/>
      <c r="L51" s="101"/>
      <c r="M51" s="103"/>
      <c r="N51" s="103"/>
      <c r="O51" s="103"/>
      <c r="P51" s="103"/>
      <c r="Q51" s="103"/>
      <c r="R51" s="103"/>
      <c r="S51" s="103"/>
    </row>
    <row r="52" spans="1:19" x14ac:dyDescent="0.3">
      <c r="A52" s="123" t="s">
        <v>124</v>
      </c>
      <c r="B52" s="124">
        <v>2026</v>
      </c>
      <c r="C52" s="104"/>
      <c r="D52" s="104"/>
      <c r="E52" s="104"/>
      <c r="F52" s="104"/>
      <c r="G52" s="104"/>
      <c r="H52" s="104"/>
      <c r="I52" s="127"/>
      <c r="J52" s="105"/>
      <c r="K52" s="104"/>
      <c r="L52" s="104"/>
      <c r="M52" s="106"/>
      <c r="N52" s="106"/>
      <c r="O52" s="106"/>
      <c r="P52" s="106"/>
      <c r="Q52" s="106"/>
      <c r="R52" s="106"/>
      <c r="S52" s="106"/>
    </row>
    <row r="53" spans="1:19" x14ac:dyDescent="0.3">
      <c r="A53" s="99" t="s">
        <v>125</v>
      </c>
      <c r="B53" s="100">
        <v>2025</v>
      </c>
      <c r="C53" s="101"/>
      <c r="D53" s="101"/>
      <c r="E53" s="101"/>
      <c r="F53" s="101"/>
      <c r="G53" s="101"/>
      <c r="H53" s="101"/>
      <c r="I53" s="108"/>
      <c r="J53" s="102"/>
      <c r="K53" s="101"/>
      <c r="L53" s="101"/>
      <c r="M53" s="103"/>
      <c r="N53" s="103"/>
      <c r="O53" s="103"/>
      <c r="P53" s="103"/>
      <c r="Q53" s="103"/>
      <c r="R53" s="103"/>
      <c r="S53" s="277">
        <f>504.3/30</f>
        <v>16.809999999999999</v>
      </c>
    </row>
    <row r="54" spans="1:19" x14ac:dyDescent="0.3">
      <c r="A54" s="123" t="s">
        <v>125</v>
      </c>
      <c r="B54" s="124">
        <v>2026</v>
      </c>
      <c r="C54" s="104"/>
      <c r="D54" s="104"/>
      <c r="E54" s="104"/>
      <c r="F54" s="104"/>
      <c r="G54" s="104"/>
      <c r="H54" s="104"/>
      <c r="I54" s="127"/>
      <c r="J54" s="105"/>
      <c r="K54" s="104"/>
      <c r="L54" s="104"/>
      <c r="M54" s="106"/>
      <c r="N54" s="106"/>
      <c r="O54" s="106"/>
      <c r="P54" s="106"/>
      <c r="Q54" s="106"/>
      <c r="R54" s="106"/>
      <c r="S54" s="104">
        <f>523.5/30</f>
        <v>17.45</v>
      </c>
    </row>
    <row r="55" spans="1:19" x14ac:dyDescent="0.3">
      <c r="A55" s="99" t="s">
        <v>126</v>
      </c>
      <c r="B55" s="100">
        <v>2025</v>
      </c>
      <c r="C55" s="101"/>
      <c r="D55" s="101"/>
      <c r="E55" s="101"/>
      <c r="F55" s="101"/>
      <c r="G55" s="101"/>
      <c r="H55" s="101"/>
      <c r="I55" s="108"/>
      <c r="J55" s="102"/>
      <c r="K55" s="101"/>
      <c r="L55" s="101"/>
      <c r="M55" s="103"/>
      <c r="N55" s="103"/>
      <c r="O55" s="103"/>
      <c r="P55" s="103"/>
      <c r="Q55" s="103"/>
      <c r="R55" s="103"/>
      <c r="S55" s="277">
        <f>537.4/30</f>
        <v>17.913333333333334</v>
      </c>
    </row>
    <row r="56" spans="1:19" x14ac:dyDescent="0.3">
      <c r="A56" s="123" t="s">
        <v>126</v>
      </c>
      <c r="B56" s="124">
        <v>2026</v>
      </c>
      <c r="C56" s="104"/>
      <c r="D56" s="104"/>
      <c r="E56" s="104"/>
      <c r="F56" s="104"/>
      <c r="G56" s="104"/>
      <c r="H56" s="104"/>
      <c r="I56" s="127"/>
      <c r="J56" s="105"/>
      <c r="K56" s="104"/>
      <c r="L56" s="104"/>
      <c r="M56" s="106"/>
      <c r="N56" s="106"/>
      <c r="O56" s="106"/>
      <c r="P56" s="106"/>
      <c r="Q56" s="106"/>
      <c r="R56" s="106"/>
      <c r="S56" s="104">
        <f>557.8/30</f>
        <v>18.59333333333333</v>
      </c>
    </row>
    <row r="57" spans="1:19" x14ac:dyDescent="0.3">
      <c r="A57" s="115"/>
      <c r="B57" s="116"/>
      <c r="C57" s="117"/>
      <c r="D57" s="117"/>
      <c r="E57" s="117"/>
      <c r="F57" s="117"/>
      <c r="G57" s="117"/>
      <c r="H57" s="117"/>
      <c r="I57" s="117"/>
      <c r="J57" s="131"/>
      <c r="K57" s="118"/>
      <c r="L57" s="118"/>
      <c r="M57" s="132"/>
      <c r="N57" s="132"/>
      <c r="O57" s="132"/>
      <c r="P57" s="132"/>
      <c r="Q57" s="132"/>
      <c r="R57" s="132"/>
      <c r="S57" s="132"/>
    </row>
    <row r="58" spans="1:19" ht="43.2" x14ac:dyDescent="0.3">
      <c r="A58" s="107" t="s">
        <v>131</v>
      </c>
      <c r="B58" s="100">
        <v>2025</v>
      </c>
      <c r="C58" s="101">
        <v>23.279999999999998</v>
      </c>
      <c r="D58" s="101">
        <v>25.362337662337662</v>
      </c>
      <c r="E58" s="101">
        <v>20.69633507853403</v>
      </c>
      <c r="F58" s="101">
        <v>22.186</v>
      </c>
      <c r="G58" s="101">
        <v>28.946666666666665</v>
      </c>
      <c r="H58" s="101">
        <v>23.865671641791046</v>
      </c>
      <c r="I58" s="108"/>
      <c r="J58" s="102"/>
      <c r="K58" s="101"/>
      <c r="L58" s="101"/>
      <c r="M58" s="103"/>
      <c r="N58" s="103"/>
      <c r="O58" s="103"/>
      <c r="P58" s="103"/>
      <c r="Q58" s="103"/>
      <c r="R58" s="103"/>
      <c r="S58" s="103"/>
    </row>
    <row r="59" spans="1:19" ht="43.2" x14ac:dyDescent="0.3">
      <c r="A59" s="125" t="s">
        <v>131</v>
      </c>
      <c r="B59" s="124">
        <v>2026</v>
      </c>
      <c r="C59" s="104">
        <f>753.1/C2</f>
        <v>25.103333333333335</v>
      </c>
      <c r="D59" s="104">
        <f>2106/D2</f>
        <v>27.350649350649352</v>
      </c>
      <c r="E59" s="104">
        <f>426.3/E2</f>
        <v>22.319371727748688</v>
      </c>
      <c r="F59" s="104">
        <f>1196.3/F2</f>
        <v>23.925999999999998</v>
      </c>
      <c r="G59" s="104">
        <f>234.1/G2</f>
        <v>31.213333333333331</v>
      </c>
      <c r="H59" s="104">
        <f>334.9/13.4</f>
        <v>24.992537313432834</v>
      </c>
      <c r="I59" s="127"/>
      <c r="J59" s="105"/>
      <c r="K59" s="104"/>
      <c r="L59" s="104"/>
      <c r="M59" s="106"/>
      <c r="N59" s="106"/>
      <c r="O59" s="106"/>
      <c r="P59" s="106"/>
      <c r="Q59" s="106"/>
      <c r="R59" s="106"/>
      <c r="S59" s="104"/>
    </row>
    <row r="60" spans="1:19" x14ac:dyDescent="0.3">
      <c r="A60" s="115"/>
      <c r="B60" s="116"/>
      <c r="C60" s="117"/>
      <c r="D60" s="117"/>
      <c r="E60" s="117"/>
      <c r="F60" s="117"/>
      <c r="G60" s="117"/>
      <c r="H60" s="117"/>
      <c r="I60" s="117"/>
      <c r="J60" s="131"/>
      <c r="K60" s="118"/>
      <c r="L60" s="118"/>
      <c r="M60" s="132"/>
      <c r="N60" s="132"/>
      <c r="O60" s="132"/>
      <c r="P60" s="132"/>
      <c r="Q60" s="132"/>
      <c r="R60" s="132"/>
      <c r="S60" s="132"/>
    </row>
    <row r="61" spans="1:19" x14ac:dyDescent="0.3">
      <c r="A61" s="99" t="s">
        <v>141</v>
      </c>
      <c r="B61" s="100">
        <v>2025</v>
      </c>
      <c r="C61" s="101"/>
      <c r="D61" s="101"/>
      <c r="E61" s="101"/>
      <c r="F61" s="101"/>
      <c r="G61" s="101"/>
      <c r="H61" s="101"/>
      <c r="I61" s="101"/>
      <c r="J61" s="102"/>
      <c r="K61" s="101"/>
      <c r="L61" s="101"/>
      <c r="M61" s="103"/>
      <c r="N61" s="103"/>
      <c r="O61" s="103"/>
      <c r="P61" s="103"/>
      <c r="Q61" s="103"/>
      <c r="R61" s="103"/>
      <c r="S61" s="103"/>
    </row>
    <row r="62" spans="1:19" x14ac:dyDescent="0.3">
      <c r="A62" s="123" t="s">
        <v>141</v>
      </c>
      <c r="B62" s="124">
        <v>2026</v>
      </c>
      <c r="C62" s="104"/>
      <c r="D62" s="104"/>
      <c r="E62" s="104"/>
      <c r="F62" s="104"/>
      <c r="G62" s="104"/>
      <c r="H62" s="104"/>
      <c r="I62" s="104"/>
      <c r="J62" s="105"/>
      <c r="K62" s="104"/>
      <c r="L62" s="104"/>
      <c r="M62" s="106"/>
      <c r="N62" s="106"/>
      <c r="O62" s="106"/>
      <c r="P62" s="106"/>
      <c r="Q62" s="106"/>
      <c r="R62" s="106"/>
      <c r="S62" s="106"/>
    </row>
    <row r="63" spans="1:19" x14ac:dyDescent="0.3">
      <c r="A63" s="99" t="s">
        <v>193</v>
      </c>
      <c r="B63" s="100">
        <v>2025</v>
      </c>
      <c r="C63" s="101">
        <v>18.971</v>
      </c>
      <c r="D63" s="101">
        <v>27.376999999999999</v>
      </c>
      <c r="E63" s="101"/>
      <c r="F63" s="101">
        <v>18.082000000000001</v>
      </c>
      <c r="G63" s="101"/>
      <c r="H63" s="101"/>
      <c r="I63" s="101"/>
      <c r="J63" s="102"/>
      <c r="K63" s="101"/>
      <c r="L63" s="101"/>
      <c r="M63" s="103"/>
      <c r="N63" s="103"/>
      <c r="O63" s="103"/>
      <c r="P63" s="103"/>
      <c r="Q63" s="103"/>
      <c r="R63" s="103"/>
      <c r="S63" s="103"/>
    </row>
    <row r="64" spans="1:19" x14ac:dyDescent="0.3">
      <c r="A64" s="123" t="s">
        <v>193</v>
      </c>
      <c r="B64" s="124">
        <v>2026</v>
      </c>
      <c r="C64" s="104">
        <f>594.8/C2</f>
        <v>19.826666666666664</v>
      </c>
      <c r="D64" s="104">
        <f>2209.9/D2</f>
        <v>28.700000000000003</v>
      </c>
      <c r="E64" s="104"/>
      <c r="F64" s="298">
        <f>944.8/F2</f>
        <v>18.896000000000001</v>
      </c>
      <c r="G64" s="104"/>
      <c r="H64" s="104"/>
      <c r="I64" s="104"/>
      <c r="J64" s="105"/>
      <c r="K64" s="104"/>
      <c r="L64" s="104"/>
      <c r="M64" s="106"/>
      <c r="N64" s="106"/>
      <c r="O64" s="106"/>
      <c r="P64" s="106"/>
      <c r="Q64" s="106"/>
      <c r="R64" s="106"/>
      <c r="S64" s="106"/>
    </row>
  </sheetData>
  <sheetProtection algorithmName="SHA-512" hashValue="4xIVuXJ00m8PPV4SdQd8WdJ4cxTSK5HXg3g1WmQlRl1OsF+1p0wTGn7UEhdZs4Cv/P2ofRVtevpYn+cGGYBFZQ==" saltValue="zTxjCFB1XNaJ8zcWwIscRg==" spinCount="100000" sheet="1" formatCells="0" formatColumns="0" formatRows="0"/>
  <pageMargins left="0.7" right="0.7" top="0.75" bottom="0.75" header="0.3" footer="0.3"/>
  <pageSetup paperSize="9" scale="63" fitToHeight="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GP Comparitive Tariffs</vt:lpstr>
      <vt:lpstr>RCF</vt:lpstr>
      <vt:lpstr>'GP Comparitive Tariffs'!Print_Area</vt:lpstr>
      <vt:lpstr>'GP Comparitive Tariffs'!Print_Titles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Peet Kotzé</dc:creator>
  <cp:lastModifiedBy>Peet Kotze</cp:lastModifiedBy>
  <cp:lastPrinted>2022-02-02T07:46:00Z</cp:lastPrinted>
  <dcterms:created xsi:type="dcterms:W3CDTF">2007-01-02T12:57:15Z</dcterms:created>
  <dcterms:modified xsi:type="dcterms:W3CDTF">2026-02-06T09:15:18Z</dcterms:modified>
</cp:coreProperties>
</file>